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0. ปี 2565\1.รายงานแผนงาน-ผลงาน ปี 65\2.ภาพรวมรายภาค\3.ภาคกลาง\"/>
    </mc:Choice>
  </mc:AlternateContent>
  <xr:revisionPtr revIDLastSave="0" documentId="13_ncr:1_{647ABDBC-F780-4AF2-B727-1B0956E9385A}" xr6:coauthVersionLast="37" xr6:coauthVersionMax="47" xr10:uidLastSave="{00000000-0000-0000-0000-000000000000}"/>
  <bookViews>
    <workbookView xWindow="0" yWindow="0" windowWidth="24000" windowHeight="95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">กาญจนบุรี!$1:$5</definedName>
    <definedName name="_xlnm.Print_Titles" localSheetId="2">จันทบุรี!$1:$5</definedName>
    <definedName name="_xlnm.Print_Titles" localSheetId="3">ฉะเชิงเทรา!$1:$5</definedName>
    <definedName name="_xlnm.Print_Titles" localSheetId="4">ชลบุรี!$1:$5</definedName>
    <definedName name="_xlnm.Print_Titles" localSheetId="5">ชัยนาท!$1:$5</definedName>
    <definedName name="_xlnm.Print_Titles" localSheetId="6">ตราด!$1:$5</definedName>
    <definedName name="_xlnm.Print_Titles" localSheetId="7">นครนายก!$1:$5</definedName>
    <definedName name="_xlnm.Print_Titles" localSheetId="8">นครปฐม!$1:$5</definedName>
    <definedName name="_xlnm.Print_Titles" localSheetId="9">ปทุมธานี!$1:$5</definedName>
    <definedName name="_xlnm.Print_Titles" localSheetId="10">ประจวบคีรีขันธ์!$1:$5</definedName>
    <definedName name="_xlnm.Print_Titles" localSheetId="11">ปราจีนบุรี!$1:$5</definedName>
    <definedName name="_xlnm.Print_Titles" localSheetId="12">พระนครศรีอยุธยา!$1:$5</definedName>
    <definedName name="_xlnm.Print_Titles" localSheetId="13">เพชรบุรี!$1:$5</definedName>
    <definedName name="_xlnm.Print_Titles" localSheetId="0">รวมกลาง!$1:$5</definedName>
    <definedName name="_xlnm.Print_Titles" localSheetId="14">ระยอง!$1:$5</definedName>
    <definedName name="_xlnm.Print_Titles" localSheetId="15">ราชบุรี!$1:$5</definedName>
    <definedName name="_xlnm.Print_Titles" localSheetId="16">ลพบุรี!$1:$5</definedName>
    <definedName name="_xlnm.Print_Titles" localSheetId="17">สระแก้ว!$1:$5</definedName>
    <definedName name="_xlnm.Print_Titles" localSheetId="18">สระบุรี!$1:$5</definedName>
    <definedName name="_xlnm.Print_Titles" localSheetId="19">สิงห์บุรี!$1:$5</definedName>
    <definedName name="_xlnm.Print_Titles" localSheetId="20">สุพรรณบุรี!$1:$5</definedName>
    <definedName name="_xlnm.Print_Titles" localSheetId="21">อ่างทอง!$1:$5</definedName>
  </definedNames>
  <calcPr calcId="179021"/>
</workbook>
</file>

<file path=xl/calcChain.xml><?xml version="1.0" encoding="utf-8"?>
<calcChain xmlns="http://schemas.openxmlformats.org/spreadsheetml/2006/main">
  <c r="J528" i="22" l="1"/>
  <c r="I528" i="22"/>
  <c r="J527" i="22"/>
  <c r="I527" i="22"/>
  <c r="J526" i="22"/>
  <c r="I526" i="22"/>
  <c r="K526" i="22" s="1"/>
  <c r="J525" i="22"/>
  <c r="I525" i="22"/>
  <c r="K525" i="22" s="1"/>
  <c r="J524" i="22"/>
  <c r="I524" i="22"/>
  <c r="J523" i="22"/>
  <c r="I523" i="22"/>
  <c r="J522" i="22"/>
  <c r="I522" i="22"/>
  <c r="J521" i="22"/>
  <c r="I521" i="22"/>
  <c r="J517" i="22"/>
  <c r="I517" i="22"/>
  <c r="J514" i="22"/>
  <c r="I514" i="22"/>
  <c r="J513" i="22"/>
  <c r="I513" i="22"/>
  <c r="K519" i="22" s="1"/>
  <c r="J510" i="22"/>
  <c r="I510" i="22"/>
  <c r="J504" i="22"/>
  <c r="I504" i="22"/>
  <c r="M494" i="22"/>
  <c r="M492" i="22" s="1"/>
  <c r="M490" i="22" s="1"/>
  <c r="L494" i="22"/>
  <c r="L493" i="22"/>
  <c r="N491" i="22"/>
  <c r="J490" i="22"/>
  <c r="J489" i="22"/>
  <c r="I489" i="22"/>
  <c r="K489" i="22" s="1"/>
  <c r="J488" i="22"/>
  <c r="J473" i="22" s="1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J483" i="22"/>
  <c r="I483" i="22"/>
  <c r="K483" i="22" s="1"/>
  <c r="J482" i="22"/>
  <c r="I482" i="22"/>
  <c r="K482" i="22" s="1"/>
  <c r="M477" i="22"/>
  <c r="L477" i="22"/>
  <c r="N477" i="22" s="1"/>
  <c r="L476" i="22"/>
  <c r="M475" i="22"/>
  <c r="M473" i="22" s="1"/>
  <c r="N474" i="22"/>
  <c r="K472" i="22"/>
  <c r="K471" i="22"/>
  <c r="K470" i="22"/>
  <c r="K469" i="22"/>
  <c r="K468" i="22"/>
  <c r="J466" i="22"/>
  <c r="I466" i="22"/>
  <c r="I457" i="22" s="1"/>
  <c r="K457" i="22" s="1"/>
  <c r="M461" i="22"/>
  <c r="L461" i="22"/>
  <c r="N461" i="22" s="1"/>
  <c r="L460" i="22"/>
  <c r="M459" i="22"/>
  <c r="N458" i="22"/>
  <c r="M457" i="22"/>
  <c r="J457" i="22"/>
  <c r="I456" i="22"/>
  <c r="K456" i="22" s="1"/>
  <c r="I455" i="22"/>
  <c r="K455" i="22" s="1"/>
  <c r="I454" i="22"/>
  <c r="K454" i="22" s="1"/>
  <c r="I453" i="22"/>
  <c r="M448" i="22"/>
  <c r="L448" i="22"/>
  <c r="L447" i="22"/>
  <c r="N447" i="22" s="1"/>
  <c r="M446" i="22"/>
  <c r="M444" i="22" s="1"/>
  <c r="N445" i="22"/>
  <c r="J444" i="22"/>
  <c r="I441" i="22"/>
  <c r="K441" i="22" s="1"/>
  <c r="I440" i="22"/>
  <c r="M430" i="22"/>
  <c r="M428" i="22" s="1"/>
  <c r="M426" i="22" s="1"/>
  <c r="L430" i="22"/>
  <c r="L429" i="22"/>
  <c r="N427" i="22"/>
  <c r="J426" i="22"/>
  <c r="K425" i="22"/>
  <c r="K424" i="22"/>
  <c r="K423" i="22"/>
  <c r="K422" i="22"/>
  <c r="K421" i="22"/>
  <c r="K420" i="22"/>
  <c r="K417" i="22"/>
  <c r="J417" i="22"/>
  <c r="I419" i="22" s="1"/>
  <c r="K419" i="22" s="1"/>
  <c r="K416" i="22"/>
  <c r="J416" i="22"/>
  <c r="I418" i="22" s="1"/>
  <c r="K418" i="22" s="1"/>
  <c r="K415" i="22"/>
  <c r="J415" i="22"/>
  <c r="K414" i="22"/>
  <c r="J414" i="22"/>
  <c r="K413" i="22"/>
  <c r="J413" i="22"/>
  <c r="K412" i="22"/>
  <c r="J412" i="22"/>
  <c r="I411" i="22"/>
  <c r="K411" i="22" s="1"/>
  <c r="I410" i="22"/>
  <c r="K410" i="22" s="1"/>
  <c r="I409" i="22"/>
  <c r="K409" i="22" s="1"/>
  <c r="K408" i="22"/>
  <c r="K407" i="22"/>
  <c r="K406" i="22"/>
  <c r="K405" i="22"/>
  <c r="K404" i="22"/>
  <c r="K403" i="22"/>
  <c r="K402" i="22"/>
  <c r="J402" i="22"/>
  <c r="K401" i="22"/>
  <c r="J401" i="22"/>
  <c r="K400" i="22"/>
  <c r="K399" i="22"/>
  <c r="K398" i="22"/>
  <c r="K397" i="22"/>
  <c r="K396" i="22"/>
  <c r="K395" i="22"/>
  <c r="K394" i="22"/>
  <c r="J394" i="22"/>
  <c r="K393" i="22"/>
  <c r="J393" i="22"/>
  <c r="J392" i="22"/>
  <c r="I392" i="22"/>
  <c r="K392" i="22" s="1"/>
  <c r="J391" i="22"/>
  <c r="J390" i="22" s="1"/>
  <c r="I391" i="22"/>
  <c r="K391" i="22" s="1"/>
  <c r="I390" i="22"/>
  <c r="K390" i="22" s="1"/>
  <c r="K389" i="22"/>
  <c r="K388" i="22"/>
  <c r="K387" i="22"/>
  <c r="K386" i="22"/>
  <c r="K385" i="22"/>
  <c r="K384" i="22"/>
  <c r="K383" i="22"/>
  <c r="J383" i="22"/>
  <c r="J377" i="22" s="1"/>
  <c r="K382" i="22"/>
  <c r="J382" i="22"/>
  <c r="J376" i="22" s="1"/>
  <c r="K381" i="22"/>
  <c r="K380" i="22"/>
  <c r="K379" i="22"/>
  <c r="K378" i="22"/>
  <c r="K375" i="22"/>
  <c r="K374" i="22"/>
  <c r="K373" i="22"/>
  <c r="K372" i="22"/>
  <c r="K371" i="22"/>
  <c r="K370" i="22"/>
  <c r="J369" i="22"/>
  <c r="J368" i="22"/>
  <c r="K367" i="22"/>
  <c r="K366" i="22"/>
  <c r="K365" i="22"/>
  <c r="K364" i="22"/>
  <c r="K363" i="22"/>
  <c r="K362" i="22"/>
  <c r="J361" i="22"/>
  <c r="I361" i="22"/>
  <c r="K361" i="22" s="1"/>
  <c r="J360" i="22"/>
  <c r="I360" i="22"/>
  <c r="K360" i="22" s="1"/>
  <c r="J359" i="22"/>
  <c r="I359" i="22"/>
  <c r="K359" i="22" s="1"/>
  <c r="M354" i="22"/>
  <c r="L354" i="22"/>
  <c r="N354" i="22" s="1"/>
  <c r="L353" i="22"/>
  <c r="M352" i="22"/>
  <c r="N351" i="22"/>
  <c r="M350" i="22"/>
  <c r="J350" i="22"/>
  <c r="I347" i="22"/>
  <c r="K347" i="22" s="1"/>
  <c r="I346" i="22"/>
  <c r="K346" i="22" s="1"/>
  <c r="I345" i="22"/>
  <c r="J344" i="22"/>
  <c r="M334" i="22"/>
  <c r="L334" i="22"/>
  <c r="N334" i="22" s="1"/>
  <c r="L333" i="22"/>
  <c r="M332" i="22"/>
  <c r="M330" i="22" s="1"/>
  <c r="M242" i="22" s="1"/>
  <c r="N331" i="22"/>
  <c r="J330" i="22"/>
  <c r="I327" i="22"/>
  <c r="K327" i="22" s="1"/>
  <c r="I326" i="22"/>
  <c r="I324" i="22"/>
  <c r="K324" i="22" s="1"/>
  <c r="I323" i="22"/>
  <c r="I322" i="22"/>
  <c r="K322" i="22" s="1"/>
  <c r="I321" i="22"/>
  <c r="I320" i="22"/>
  <c r="I319" i="22"/>
  <c r="K319" i="22" s="1"/>
  <c r="I318" i="22"/>
  <c r="K318" i="22" s="1"/>
  <c r="I317" i="22"/>
  <c r="K317" i="22" s="1"/>
  <c r="I316" i="22"/>
  <c r="K316" i="22" s="1"/>
  <c r="I315" i="22"/>
  <c r="I314" i="22"/>
  <c r="K314" i="22" s="1"/>
  <c r="I313" i="22"/>
  <c r="K313" i="22" s="1"/>
  <c r="I312" i="22"/>
  <c r="K312" i="22" s="1"/>
  <c r="M301" i="22"/>
  <c r="L301" i="22"/>
  <c r="N301" i="22" s="1"/>
  <c r="L300" i="22"/>
  <c r="M299" i="22"/>
  <c r="M296" i="22" s="1"/>
  <c r="N298" i="22"/>
  <c r="J296" i="22"/>
  <c r="I293" i="22"/>
  <c r="K293" i="22" s="1"/>
  <c r="I292" i="22"/>
  <c r="I291" i="22"/>
  <c r="M280" i="22"/>
  <c r="L280" i="22"/>
  <c r="N280" i="22" s="1"/>
  <c r="L279" i="22"/>
  <c r="M278" i="22"/>
  <c r="M275" i="22" s="1"/>
  <c r="N277" i="22"/>
  <c r="J276" i="22"/>
  <c r="J275" i="22"/>
  <c r="I272" i="22"/>
  <c r="K272" i="22" s="1"/>
  <c r="I271" i="22"/>
  <c r="K271" i="22" s="1"/>
  <c r="J270" i="22"/>
  <c r="J244" i="22" s="1"/>
  <c r="I268" i="22"/>
  <c r="K268" i="22" s="1"/>
  <c r="I266" i="22"/>
  <c r="K266" i="22" s="1"/>
  <c r="I264" i="22"/>
  <c r="J263" i="22"/>
  <c r="I263" i="22"/>
  <c r="J262" i="22"/>
  <c r="I260" i="22"/>
  <c r="K260" i="22" s="1"/>
  <c r="J259" i="22"/>
  <c r="M249" i="22"/>
  <c r="L249" i="22"/>
  <c r="N249" i="22" s="1"/>
  <c r="L248" i="22"/>
  <c r="N248" i="22" s="1"/>
  <c r="M247" i="22"/>
  <c r="M244" i="22" s="1"/>
  <c r="N246" i="22"/>
  <c r="J245" i="22"/>
  <c r="K241" i="22"/>
  <c r="J241" i="22"/>
  <c r="J240" i="22"/>
  <c r="J228" i="22" s="1"/>
  <c r="I240" i="22"/>
  <c r="K240" i="22" s="1"/>
  <c r="K239" i="22"/>
  <c r="J239" i="22"/>
  <c r="J238" i="22"/>
  <c r="I238" i="22"/>
  <c r="K238" i="22" s="1"/>
  <c r="K237" i="22"/>
  <c r="J237" i="22"/>
  <c r="J236" i="22"/>
  <c r="I236" i="22"/>
  <c r="J235" i="22"/>
  <c r="I235" i="22"/>
  <c r="K235" i="22" s="1"/>
  <c r="K234" i="22"/>
  <c r="J234" i="22"/>
  <c r="L232" i="22"/>
  <c r="N232" i="22" s="1"/>
  <c r="L231" i="22"/>
  <c r="M230" i="22"/>
  <c r="N229" i="22"/>
  <c r="M228" i="22"/>
  <c r="I224" i="22"/>
  <c r="L218" i="22"/>
  <c r="N218" i="22" s="1"/>
  <c r="N217" i="22"/>
  <c r="M216" i="22"/>
  <c r="N215" i="22"/>
  <c r="M214" i="22"/>
  <c r="J214" i="22"/>
  <c r="I211" i="22"/>
  <c r="K211" i="22" s="1"/>
  <c r="I209" i="22"/>
  <c r="K209" i="22" s="1"/>
  <c r="L203" i="22"/>
  <c r="N203" i="22" s="1"/>
  <c r="N202" i="22"/>
  <c r="M201" i="22"/>
  <c r="M199" i="22" s="1"/>
  <c r="N200" i="22"/>
  <c r="J199" i="22"/>
  <c r="I195" i="22"/>
  <c r="K195" i="22" s="1"/>
  <c r="L189" i="22"/>
  <c r="N189" i="22" s="1"/>
  <c r="L188" i="22"/>
  <c r="M187" i="22"/>
  <c r="M185" i="22" s="1"/>
  <c r="N186" i="22"/>
  <c r="J185" i="22"/>
  <c r="I182" i="22"/>
  <c r="K182" i="22" s="1"/>
  <c r="I181" i="22"/>
  <c r="K181" i="22" s="1"/>
  <c r="I180" i="22"/>
  <c r="I179" i="22"/>
  <c r="K179" i="22" s="1"/>
  <c r="L173" i="22"/>
  <c r="N173" i="22" s="1"/>
  <c r="L172" i="22"/>
  <c r="M171" i="22"/>
  <c r="N170" i="22"/>
  <c r="M169" i="22"/>
  <c r="J169" i="22"/>
  <c r="K164" i="22"/>
  <c r="J158" i="22"/>
  <c r="I158" i="22"/>
  <c r="K158" i="22" s="1"/>
  <c r="I155" i="22"/>
  <c r="J149" i="22"/>
  <c r="J144" i="22" s="1"/>
  <c r="L148" i="22"/>
  <c r="N147" i="22"/>
  <c r="M146" i="22"/>
  <c r="M144" i="22" s="1"/>
  <c r="N145" i="22"/>
  <c r="L141" i="22"/>
  <c r="N141" i="22" s="1"/>
  <c r="I141" i="22"/>
  <c r="K141" i="22" s="1"/>
  <c r="L140" i="22"/>
  <c r="N140" i="22" s="1"/>
  <c r="I140" i="22"/>
  <c r="K140" i="22" s="1"/>
  <c r="L138" i="22"/>
  <c r="N138" i="22" s="1"/>
  <c r="I138" i="22"/>
  <c r="L132" i="22"/>
  <c r="M131" i="22"/>
  <c r="N130" i="22"/>
  <c r="M129" i="22"/>
  <c r="J129" i="22"/>
  <c r="L126" i="22"/>
  <c r="N126" i="22" s="1"/>
  <c r="I126" i="22"/>
  <c r="K126" i="22" s="1"/>
  <c r="L125" i="22"/>
  <c r="N125" i="22" s="1"/>
  <c r="I125" i="22"/>
  <c r="I124" i="22"/>
  <c r="K124" i="22" s="1"/>
  <c r="L117" i="22"/>
  <c r="M116" i="22"/>
  <c r="N115" i="22"/>
  <c r="M114" i="22"/>
  <c r="J114" i="22"/>
  <c r="L111" i="22"/>
  <c r="N111" i="22" s="1"/>
  <c r="I111" i="22"/>
  <c r="K111" i="22" s="1"/>
  <c r="L110" i="22"/>
  <c r="N110" i="22" s="1"/>
  <c r="I110" i="22"/>
  <c r="K110" i="22" s="1"/>
  <c r="L104" i="22"/>
  <c r="M103" i="22"/>
  <c r="N102" i="22"/>
  <c r="M101" i="22"/>
  <c r="J101" i="22"/>
  <c r="L98" i="22"/>
  <c r="N98" i="22" s="1"/>
  <c r="I98" i="22"/>
  <c r="L92" i="22"/>
  <c r="M91" i="22"/>
  <c r="N90" i="22"/>
  <c r="M89" i="22"/>
  <c r="J89" i="22"/>
  <c r="J84" i="22"/>
  <c r="I83" i="22"/>
  <c r="L77" i="22"/>
  <c r="N77" i="22" s="1"/>
  <c r="M76" i="22"/>
  <c r="N75" i="22"/>
  <c r="M74" i="22"/>
  <c r="J74" i="22"/>
  <c r="M73" i="22"/>
  <c r="L72" i="22"/>
  <c r="N72" i="22" s="1"/>
  <c r="M71" i="22"/>
  <c r="M68" i="22" s="1"/>
  <c r="N70" i="22"/>
  <c r="J68" i="22"/>
  <c r="I62" i="22"/>
  <c r="L56" i="22"/>
  <c r="N56" i="22" s="1"/>
  <c r="L55" i="22"/>
  <c r="M54" i="22"/>
  <c r="N53" i="22"/>
  <c r="M52" i="22"/>
  <c r="J52" i="22"/>
  <c r="I48" i="22"/>
  <c r="K48" i="22" s="1"/>
  <c r="I47" i="22"/>
  <c r="K47" i="22" s="1"/>
  <c r="I46" i="22"/>
  <c r="K46" i="22" s="1"/>
  <c r="I45" i="22"/>
  <c r="K45" i="22" s="1"/>
  <c r="I44" i="22"/>
  <c r="I43" i="22"/>
  <c r="K43" i="22" s="1"/>
  <c r="L37" i="22"/>
  <c r="N37" i="22" s="1"/>
  <c r="L36" i="22"/>
  <c r="N36" i="22" s="1"/>
  <c r="M35" i="22"/>
  <c r="M32" i="22" s="1"/>
  <c r="L35" i="22"/>
  <c r="N34" i="22"/>
  <c r="J33" i="22"/>
  <c r="J32" i="22"/>
  <c r="I28" i="22"/>
  <c r="K28" i="22" s="1"/>
  <c r="I27" i="22"/>
  <c r="K27" i="22" s="1"/>
  <c r="I26" i="22"/>
  <c r="K26" i="22" s="1"/>
  <c r="I25" i="22"/>
  <c r="K25" i="22" s="1"/>
  <c r="I24" i="22"/>
  <c r="K24" i="22" s="1"/>
  <c r="I23" i="22"/>
  <c r="I22" i="22"/>
  <c r="J21" i="22"/>
  <c r="J20" i="22"/>
  <c r="J9" i="22" s="1"/>
  <c r="L14" i="22"/>
  <c r="N14" i="22" s="1"/>
  <c r="L13" i="22"/>
  <c r="N13" i="22" s="1"/>
  <c r="M12" i="22"/>
  <c r="L12" i="22"/>
  <c r="N12" i="22" s="1"/>
  <c r="N11" i="22"/>
  <c r="J10" i="22"/>
  <c r="M9" i="22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17" i="21"/>
  <c r="I517" i="21"/>
  <c r="J514" i="21"/>
  <c r="J513" i="21" s="1"/>
  <c r="I514" i="21"/>
  <c r="I513" i="21"/>
  <c r="J510" i="21"/>
  <c r="I510" i="21"/>
  <c r="J504" i="21"/>
  <c r="J490" i="21" s="1"/>
  <c r="I504" i="21"/>
  <c r="K507" i="21" s="1"/>
  <c r="M494" i="21"/>
  <c r="L494" i="21"/>
  <c r="N494" i="21" s="1"/>
  <c r="L493" i="21"/>
  <c r="M492" i="21"/>
  <c r="N491" i="21"/>
  <c r="M490" i="21"/>
  <c r="J489" i="21"/>
  <c r="I489" i="21"/>
  <c r="K489" i="21" s="1"/>
  <c r="J488" i="21"/>
  <c r="J473" i="21" s="1"/>
  <c r="I488" i="21"/>
  <c r="J487" i="21"/>
  <c r="I487" i="21"/>
  <c r="K487" i="21" s="1"/>
  <c r="J486" i="21"/>
  <c r="I486" i="21"/>
  <c r="J485" i="21"/>
  <c r="I485" i="21"/>
  <c r="K485" i="21" s="1"/>
  <c r="J484" i="21"/>
  <c r="I484" i="21"/>
  <c r="I473" i="21" s="1"/>
  <c r="J483" i="21"/>
  <c r="I483" i="21"/>
  <c r="K483" i="21" s="1"/>
  <c r="J482" i="21"/>
  <c r="I482" i="21"/>
  <c r="M477" i="21"/>
  <c r="M475" i="21" s="1"/>
  <c r="M473" i="21" s="1"/>
  <c r="L477" i="21"/>
  <c r="N477" i="21" s="1"/>
  <c r="L476" i="21"/>
  <c r="N476" i="21" s="1"/>
  <c r="N474" i="21"/>
  <c r="K472" i="21"/>
  <c r="K471" i="21"/>
  <c r="K470" i="21"/>
  <c r="K469" i="21"/>
  <c r="K468" i="21"/>
  <c r="J466" i="21"/>
  <c r="I466" i="21"/>
  <c r="M461" i="21"/>
  <c r="L461" i="21"/>
  <c r="N461" i="21" s="1"/>
  <c r="L460" i="21"/>
  <c r="M459" i="21"/>
  <c r="N458" i="21"/>
  <c r="M457" i="21"/>
  <c r="J457" i="21"/>
  <c r="I456" i="21"/>
  <c r="K456" i="21" s="1"/>
  <c r="I455" i="21"/>
  <c r="K455" i="21" s="1"/>
  <c r="I454" i="21"/>
  <c r="K454" i="21" s="1"/>
  <c r="I453" i="21"/>
  <c r="M448" i="21"/>
  <c r="L448" i="21"/>
  <c r="N448" i="21" s="1"/>
  <c r="L447" i="21"/>
  <c r="M446" i="21"/>
  <c r="N445" i="21"/>
  <c r="M444" i="21"/>
  <c r="J444" i="21"/>
  <c r="I441" i="21"/>
  <c r="K441" i="21" s="1"/>
  <c r="I440" i="21"/>
  <c r="M430" i="21"/>
  <c r="M428" i="21" s="1"/>
  <c r="M426" i="21" s="1"/>
  <c r="L430" i="21"/>
  <c r="N430" i="21" s="1"/>
  <c r="L429" i="21"/>
  <c r="N427" i="21"/>
  <c r="J426" i="21"/>
  <c r="K425" i="21"/>
  <c r="K424" i="21"/>
  <c r="K423" i="21"/>
  <c r="K422" i="21"/>
  <c r="K421" i="21"/>
  <c r="K420" i="21"/>
  <c r="K417" i="21"/>
  <c r="J417" i="21"/>
  <c r="I419" i="21" s="1"/>
  <c r="K419" i="21" s="1"/>
  <c r="K416" i="21"/>
  <c r="J416" i="21"/>
  <c r="I418" i="21" s="1"/>
  <c r="K418" i="21" s="1"/>
  <c r="K415" i="21"/>
  <c r="J415" i="21"/>
  <c r="K414" i="21"/>
  <c r="J414" i="21"/>
  <c r="K413" i="21"/>
  <c r="J413" i="21"/>
  <c r="K412" i="21"/>
  <c r="J412" i="21"/>
  <c r="I411" i="21"/>
  <c r="K411" i="21" s="1"/>
  <c r="I410" i="21"/>
  <c r="K410" i="21" s="1"/>
  <c r="I409" i="21"/>
  <c r="K409" i="21" s="1"/>
  <c r="K408" i="21"/>
  <c r="K407" i="21"/>
  <c r="K406" i="21"/>
  <c r="K405" i="21"/>
  <c r="K404" i="21"/>
  <c r="K403" i="21"/>
  <c r="K402" i="21"/>
  <c r="J402" i="21"/>
  <c r="K401" i="21"/>
  <c r="J401" i="21"/>
  <c r="J391" i="21" s="1"/>
  <c r="J390" i="21" s="1"/>
  <c r="K400" i="21"/>
  <c r="K399" i="21"/>
  <c r="K398" i="21"/>
  <c r="K397" i="21"/>
  <c r="K396" i="21"/>
  <c r="K395" i="21"/>
  <c r="K394" i="21"/>
  <c r="J394" i="21"/>
  <c r="J392" i="21" s="1"/>
  <c r="K393" i="21"/>
  <c r="J393" i="21"/>
  <c r="I392" i="21"/>
  <c r="I391" i="21"/>
  <c r="I390" i="21"/>
  <c r="K389" i="21"/>
  <c r="K388" i="21"/>
  <c r="K387" i="21"/>
  <c r="K386" i="21"/>
  <c r="K385" i="21"/>
  <c r="K384" i="21"/>
  <c r="K383" i="21"/>
  <c r="J383" i="21"/>
  <c r="J377" i="21" s="1"/>
  <c r="K382" i="21"/>
  <c r="J382" i="21"/>
  <c r="J376" i="21" s="1"/>
  <c r="J359" i="21" s="1"/>
  <c r="K381" i="21"/>
  <c r="K380" i="21"/>
  <c r="K379" i="21"/>
  <c r="K378" i="21"/>
  <c r="K375" i="21"/>
  <c r="K374" i="21"/>
  <c r="K373" i="21"/>
  <c r="K372" i="21"/>
  <c r="K371" i="21"/>
  <c r="K370" i="21"/>
  <c r="J369" i="21"/>
  <c r="J368" i="21"/>
  <c r="K367" i="21"/>
  <c r="K366" i="21"/>
  <c r="K365" i="21"/>
  <c r="K364" i="21"/>
  <c r="K363" i="21"/>
  <c r="K362" i="21"/>
  <c r="J361" i="21"/>
  <c r="I361" i="21"/>
  <c r="I369" i="21" s="1"/>
  <c r="J360" i="21"/>
  <c r="I360" i="21"/>
  <c r="K360" i="21" s="1"/>
  <c r="I359" i="21"/>
  <c r="M354" i="21"/>
  <c r="M352" i="21" s="1"/>
  <c r="M350" i="21" s="1"/>
  <c r="L354" i="21"/>
  <c r="N354" i="21" s="1"/>
  <c r="L353" i="21"/>
  <c r="N351" i="21"/>
  <c r="J350" i="21"/>
  <c r="I347" i="21"/>
  <c r="K347" i="21" s="1"/>
  <c r="I346" i="21"/>
  <c r="K346" i="21" s="1"/>
  <c r="I345" i="21"/>
  <c r="J344" i="21"/>
  <c r="M334" i="21"/>
  <c r="L334" i="21"/>
  <c r="L333" i="21"/>
  <c r="N331" i="21"/>
  <c r="J330" i="21"/>
  <c r="I327" i="21"/>
  <c r="K327" i="21" s="1"/>
  <c r="I326" i="21"/>
  <c r="I324" i="21"/>
  <c r="K324" i="21" s="1"/>
  <c r="I323" i="21"/>
  <c r="I322" i="21"/>
  <c r="K322" i="21" s="1"/>
  <c r="I321" i="21"/>
  <c r="I320" i="21"/>
  <c r="I319" i="21"/>
  <c r="K319" i="21" s="1"/>
  <c r="I318" i="21"/>
  <c r="K318" i="21" s="1"/>
  <c r="I317" i="21"/>
  <c r="K317" i="21" s="1"/>
  <c r="I316" i="21"/>
  <c r="I315" i="21"/>
  <c r="K315" i="21" s="1"/>
  <c r="I314" i="21"/>
  <c r="K314" i="21" s="1"/>
  <c r="I313" i="21"/>
  <c r="K313" i="21" s="1"/>
  <c r="I312" i="21"/>
  <c r="M301" i="21"/>
  <c r="L301" i="21"/>
  <c r="N301" i="21" s="1"/>
  <c r="L300" i="21"/>
  <c r="M299" i="21"/>
  <c r="M296" i="21" s="1"/>
  <c r="N298" i="21"/>
  <c r="J296" i="21"/>
  <c r="I293" i="21"/>
  <c r="K293" i="21" s="1"/>
  <c r="I292" i="21"/>
  <c r="K292" i="21" s="1"/>
  <c r="I291" i="21"/>
  <c r="K291" i="21" s="1"/>
  <c r="M280" i="21"/>
  <c r="L280" i="21"/>
  <c r="N280" i="21" s="1"/>
  <c r="L279" i="21"/>
  <c r="M278" i="21"/>
  <c r="M275" i="21" s="1"/>
  <c r="N277" i="21"/>
  <c r="J276" i="21"/>
  <c r="J275" i="21"/>
  <c r="I272" i="21"/>
  <c r="I271" i="21"/>
  <c r="K271" i="21" s="1"/>
  <c r="J270" i="21"/>
  <c r="J244" i="21" s="1"/>
  <c r="I268" i="21"/>
  <c r="K268" i="21" s="1"/>
  <c r="I266" i="21"/>
  <c r="K266" i="21" s="1"/>
  <c r="I264" i="21"/>
  <c r="J263" i="21"/>
  <c r="I263" i="21"/>
  <c r="I267" i="21" s="1"/>
  <c r="K267" i="21" s="1"/>
  <c r="J262" i="21"/>
  <c r="I260" i="21"/>
  <c r="K260" i="21" s="1"/>
  <c r="J259" i="21"/>
  <c r="M249" i="21"/>
  <c r="L249" i="21"/>
  <c r="N249" i="21" s="1"/>
  <c r="L248" i="21"/>
  <c r="M247" i="21"/>
  <c r="M244" i="21" s="1"/>
  <c r="N246" i="21"/>
  <c r="J245" i="21"/>
  <c r="K241" i="21"/>
  <c r="J241" i="21"/>
  <c r="J240" i="21"/>
  <c r="J228" i="21" s="1"/>
  <c r="I240" i="21"/>
  <c r="K239" i="21"/>
  <c r="J239" i="21"/>
  <c r="J238" i="21"/>
  <c r="I238" i="21"/>
  <c r="K237" i="21"/>
  <c r="J237" i="21"/>
  <c r="J236" i="21"/>
  <c r="I236" i="21"/>
  <c r="I228" i="21" s="1"/>
  <c r="J235" i="21"/>
  <c r="I235" i="21"/>
  <c r="K234" i="21"/>
  <c r="J234" i="21"/>
  <c r="L232" i="21"/>
  <c r="N232" i="21" s="1"/>
  <c r="L231" i="21"/>
  <c r="M230" i="21"/>
  <c r="N229" i="21"/>
  <c r="M228" i="21"/>
  <c r="I224" i="21"/>
  <c r="L218" i="21"/>
  <c r="N218" i="21" s="1"/>
  <c r="N217" i="21"/>
  <c r="M216" i="21"/>
  <c r="N215" i="21"/>
  <c r="M214" i="21"/>
  <c r="J214" i="21"/>
  <c r="I211" i="21"/>
  <c r="K211" i="21" s="1"/>
  <c r="I209" i="21"/>
  <c r="L203" i="21"/>
  <c r="N202" i="21"/>
  <c r="M201" i="21"/>
  <c r="N200" i="21"/>
  <c r="M199" i="21"/>
  <c r="J199" i="21"/>
  <c r="I195" i="21"/>
  <c r="K195" i="21" s="1"/>
  <c r="L189" i="21"/>
  <c r="N189" i="21" s="1"/>
  <c r="L188" i="21"/>
  <c r="N188" i="21" s="1"/>
  <c r="M187" i="21"/>
  <c r="N186" i="21"/>
  <c r="M185" i="21"/>
  <c r="J185" i="21"/>
  <c r="I182" i="21"/>
  <c r="K182" i="21" s="1"/>
  <c r="I181" i="21"/>
  <c r="K181" i="21" s="1"/>
  <c r="I180" i="21"/>
  <c r="I179" i="21"/>
  <c r="K179" i="21" s="1"/>
  <c r="L173" i="21"/>
  <c r="N173" i="21" s="1"/>
  <c r="L172" i="21"/>
  <c r="M171" i="21"/>
  <c r="N170" i="21"/>
  <c r="M169" i="21"/>
  <c r="J169" i="21"/>
  <c r="K164" i="21"/>
  <c r="J158" i="21"/>
  <c r="I158" i="21"/>
  <c r="K158" i="21" s="1"/>
  <c r="I155" i="21"/>
  <c r="J149" i="21"/>
  <c r="J144" i="21" s="1"/>
  <c r="L148" i="21"/>
  <c r="N147" i="21"/>
  <c r="M146" i="21"/>
  <c r="M144" i="21" s="1"/>
  <c r="N145" i="21"/>
  <c r="L141" i="21"/>
  <c r="N141" i="21" s="1"/>
  <c r="I141" i="21"/>
  <c r="K141" i="21" s="1"/>
  <c r="L140" i="21"/>
  <c r="N140" i="21" s="1"/>
  <c r="I140" i="21"/>
  <c r="K140" i="21" s="1"/>
  <c r="L138" i="21"/>
  <c r="N138" i="21" s="1"/>
  <c r="I138" i="21"/>
  <c r="K138" i="21" s="1"/>
  <c r="L132" i="21"/>
  <c r="L131" i="21" s="1"/>
  <c r="M131" i="21"/>
  <c r="N130" i="21"/>
  <c r="M129" i="21"/>
  <c r="J129" i="21"/>
  <c r="L126" i="21"/>
  <c r="N126" i="21" s="1"/>
  <c r="I126" i="21"/>
  <c r="K126" i="21" s="1"/>
  <c r="L125" i="21"/>
  <c r="N125" i="21" s="1"/>
  <c r="I125" i="21"/>
  <c r="I124" i="21"/>
  <c r="K124" i="21" s="1"/>
  <c r="L117" i="21"/>
  <c r="M116" i="21"/>
  <c r="N115" i="21"/>
  <c r="M114" i="21"/>
  <c r="J114" i="21"/>
  <c r="L111" i="21"/>
  <c r="N111" i="21" s="1"/>
  <c r="I111" i="21"/>
  <c r="L110" i="21"/>
  <c r="N110" i="21" s="1"/>
  <c r="I110" i="21"/>
  <c r="K110" i="21" s="1"/>
  <c r="L104" i="21"/>
  <c r="M103" i="21"/>
  <c r="N102" i="21"/>
  <c r="M101" i="21"/>
  <c r="J101" i="21"/>
  <c r="L98" i="21"/>
  <c r="N98" i="21" s="1"/>
  <c r="I98" i="21"/>
  <c r="K98" i="21" s="1"/>
  <c r="L92" i="21"/>
  <c r="M91" i="21"/>
  <c r="N90" i="21"/>
  <c r="M89" i="21"/>
  <c r="J89" i="21"/>
  <c r="J84" i="21"/>
  <c r="I83" i="21"/>
  <c r="L77" i="21"/>
  <c r="M76" i="21"/>
  <c r="N75" i="21"/>
  <c r="M74" i="21"/>
  <c r="J74" i="21"/>
  <c r="M73" i="21"/>
  <c r="L72" i="21"/>
  <c r="N72" i="21" s="1"/>
  <c r="M71" i="21"/>
  <c r="N70" i="21"/>
  <c r="M68" i="21"/>
  <c r="J68" i="21"/>
  <c r="I62" i="21"/>
  <c r="L56" i="21"/>
  <c r="N56" i="21" s="1"/>
  <c r="L55" i="21"/>
  <c r="M54" i="21"/>
  <c r="N53" i="21"/>
  <c r="M52" i="21"/>
  <c r="J52" i="21"/>
  <c r="I48" i="21"/>
  <c r="I47" i="21"/>
  <c r="K47" i="21" s="1"/>
  <c r="I46" i="21"/>
  <c r="K46" i="21" s="1"/>
  <c r="I45" i="21"/>
  <c r="K45" i="21" s="1"/>
  <c r="I44" i="21"/>
  <c r="I43" i="21"/>
  <c r="K43" i="21" s="1"/>
  <c r="L37" i="21"/>
  <c r="N37" i="21" s="1"/>
  <c r="L36" i="21"/>
  <c r="N36" i="21" s="1"/>
  <c r="M35" i="21"/>
  <c r="M32" i="21" s="1"/>
  <c r="L35" i="21"/>
  <c r="N35" i="21" s="1"/>
  <c r="N34" i="21"/>
  <c r="J33" i="21"/>
  <c r="J32" i="21"/>
  <c r="I28" i="21"/>
  <c r="K28" i="21" s="1"/>
  <c r="I27" i="21"/>
  <c r="K27" i="21" s="1"/>
  <c r="I26" i="21"/>
  <c r="K26" i="21" s="1"/>
  <c r="I25" i="21"/>
  <c r="K25" i="21" s="1"/>
  <c r="I24" i="21"/>
  <c r="K24" i="21" s="1"/>
  <c r="I23" i="21"/>
  <c r="K23" i="21" s="1"/>
  <c r="I22" i="21"/>
  <c r="J21" i="21"/>
  <c r="J20" i="21"/>
  <c r="J9" i="21" s="1"/>
  <c r="L14" i="21"/>
  <c r="N14" i="21" s="1"/>
  <c r="L13" i="21"/>
  <c r="N13" i="21" s="1"/>
  <c r="M12" i="21"/>
  <c r="L12" i="21"/>
  <c r="L9" i="21" s="1"/>
  <c r="N11" i="21"/>
  <c r="J10" i="21"/>
  <c r="M9" i="21"/>
  <c r="J528" i="20"/>
  <c r="I528" i="20"/>
  <c r="J527" i="20"/>
  <c r="I527" i="20"/>
  <c r="J526" i="20"/>
  <c r="I526" i="20"/>
  <c r="J525" i="20"/>
  <c r="I525" i="20"/>
  <c r="J524" i="20"/>
  <c r="I524" i="20"/>
  <c r="K524" i="20" s="1"/>
  <c r="J523" i="20"/>
  <c r="I523" i="20"/>
  <c r="K523" i="20" s="1"/>
  <c r="J522" i="20"/>
  <c r="I522" i="20"/>
  <c r="J521" i="20"/>
  <c r="I521" i="20"/>
  <c r="J517" i="20"/>
  <c r="I517" i="20"/>
  <c r="J514" i="20"/>
  <c r="J513" i="20" s="1"/>
  <c r="I514" i="20"/>
  <c r="I513" i="20"/>
  <c r="J510" i="20"/>
  <c r="I510" i="20"/>
  <c r="J504" i="20"/>
  <c r="J490" i="20" s="1"/>
  <c r="I504" i="20"/>
  <c r="I490" i="20" s="1"/>
  <c r="K490" i="20" s="1"/>
  <c r="M494" i="20"/>
  <c r="L494" i="20"/>
  <c r="N494" i="20" s="1"/>
  <c r="L493" i="20"/>
  <c r="M492" i="20"/>
  <c r="M490" i="20" s="1"/>
  <c r="N491" i="20"/>
  <c r="J489" i="20"/>
  <c r="I489" i="20"/>
  <c r="K489" i="20" s="1"/>
  <c r="J488" i="20"/>
  <c r="J473" i="20" s="1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M477" i="20"/>
  <c r="M475" i="20" s="1"/>
  <c r="M473" i="20" s="1"/>
  <c r="L477" i="20"/>
  <c r="N477" i="20" s="1"/>
  <c r="L476" i="20"/>
  <c r="N474" i="20"/>
  <c r="K472" i="20"/>
  <c r="K471" i="20"/>
  <c r="K470" i="20"/>
  <c r="K469" i="20"/>
  <c r="K468" i="20"/>
  <c r="J466" i="20"/>
  <c r="I466" i="20"/>
  <c r="K466" i="20" s="1"/>
  <c r="M461" i="20"/>
  <c r="M459" i="20" s="1"/>
  <c r="M457" i="20" s="1"/>
  <c r="L461" i="20"/>
  <c r="N461" i="20" s="1"/>
  <c r="L460" i="20"/>
  <c r="N458" i="20"/>
  <c r="J457" i="20"/>
  <c r="I456" i="20"/>
  <c r="K456" i="20" s="1"/>
  <c r="I455" i="20"/>
  <c r="K455" i="20" s="1"/>
  <c r="I454" i="20"/>
  <c r="K454" i="20" s="1"/>
  <c r="I453" i="20"/>
  <c r="M448" i="20"/>
  <c r="L448" i="20"/>
  <c r="L447" i="20"/>
  <c r="N447" i="20" s="1"/>
  <c r="M446" i="20"/>
  <c r="M444" i="20" s="1"/>
  <c r="N445" i="20"/>
  <c r="J444" i="20"/>
  <c r="I441" i="20"/>
  <c r="K441" i="20" s="1"/>
  <c r="I440" i="20"/>
  <c r="K440" i="20" s="1"/>
  <c r="M430" i="20"/>
  <c r="L430" i="20"/>
  <c r="L429" i="20"/>
  <c r="N429" i="20" s="1"/>
  <c r="M428" i="20"/>
  <c r="N427" i="20"/>
  <c r="M426" i="20"/>
  <c r="J426" i="20"/>
  <c r="K425" i="20"/>
  <c r="K424" i="20"/>
  <c r="K423" i="20"/>
  <c r="K422" i="20"/>
  <c r="K421" i="20"/>
  <c r="K420" i="20"/>
  <c r="K417" i="20"/>
  <c r="J417" i="20"/>
  <c r="I419" i="20" s="1"/>
  <c r="K419" i="20" s="1"/>
  <c r="K416" i="20"/>
  <c r="J416" i="20"/>
  <c r="I418" i="20" s="1"/>
  <c r="K418" i="20" s="1"/>
  <c r="K415" i="20"/>
  <c r="J415" i="20"/>
  <c r="K414" i="20"/>
  <c r="J414" i="20"/>
  <c r="K413" i="20"/>
  <c r="J413" i="20"/>
  <c r="K412" i="20"/>
  <c r="J412" i="20"/>
  <c r="I411" i="20"/>
  <c r="K411" i="20" s="1"/>
  <c r="I410" i="20"/>
  <c r="K410" i="20" s="1"/>
  <c r="I409" i="20"/>
  <c r="K409" i="20" s="1"/>
  <c r="K408" i="20"/>
  <c r="K407" i="20"/>
  <c r="K406" i="20"/>
  <c r="K405" i="20"/>
  <c r="K404" i="20"/>
  <c r="K403" i="20"/>
  <c r="K402" i="20"/>
  <c r="J402" i="20"/>
  <c r="J392" i="20" s="1"/>
  <c r="K401" i="20"/>
  <c r="J401" i="20"/>
  <c r="K400" i="20"/>
  <c r="K399" i="20"/>
  <c r="K398" i="20"/>
  <c r="K397" i="20"/>
  <c r="K396" i="20"/>
  <c r="K395" i="20"/>
  <c r="K394" i="20"/>
  <c r="J394" i="20"/>
  <c r="K393" i="20"/>
  <c r="J393" i="20"/>
  <c r="I392" i="20"/>
  <c r="K392" i="20" s="1"/>
  <c r="J391" i="20"/>
  <c r="J390" i="20" s="1"/>
  <c r="I391" i="20"/>
  <c r="K391" i="20" s="1"/>
  <c r="I390" i="20"/>
  <c r="K390" i="20" s="1"/>
  <c r="K389" i="20"/>
  <c r="K388" i="20"/>
  <c r="K387" i="20"/>
  <c r="K386" i="20"/>
  <c r="K385" i="20"/>
  <c r="K384" i="20"/>
  <c r="K383" i="20"/>
  <c r="J383" i="20"/>
  <c r="J377" i="20" s="1"/>
  <c r="K382" i="20"/>
  <c r="J382" i="20"/>
  <c r="K381" i="20"/>
  <c r="K380" i="20"/>
  <c r="K379" i="20"/>
  <c r="K378" i="20"/>
  <c r="J376" i="20"/>
  <c r="J359" i="20" s="1"/>
  <c r="J350" i="20" s="1"/>
  <c r="K375" i="20"/>
  <c r="K374" i="20"/>
  <c r="K373" i="20"/>
  <c r="K372" i="20"/>
  <c r="K371" i="20"/>
  <c r="K370" i="20"/>
  <c r="J369" i="20"/>
  <c r="J368" i="20"/>
  <c r="K367" i="20"/>
  <c r="K366" i="20"/>
  <c r="K365" i="20"/>
  <c r="K364" i="20"/>
  <c r="K363" i="20"/>
  <c r="K362" i="20"/>
  <c r="J361" i="20"/>
  <c r="I361" i="20"/>
  <c r="I377" i="20" s="1"/>
  <c r="K377" i="20" s="1"/>
  <c r="J360" i="20"/>
  <c r="I360" i="20"/>
  <c r="K360" i="20" s="1"/>
  <c r="I359" i="20"/>
  <c r="M354" i="20"/>
  <c r="M352" i="20" s="1"/>
  <c r="M350" i="20" s="1"/>
  <c r="L354" i="20"/>
  <c r="N354" i="20" s="1"/>
  <c r="L353" i="20"/>
  <c r="N353" i="20" s="1"/>
  <c r="N351" i="20"/>
  <c r="I347" i="20"/>
  <c r="K347" i="20" s="1"/>
  <c r="I346" i="20"/>
  <c r="K346" i="20" s="1"/>
  <c r="I345" i="20"/>
  <c r="K345" i="20" s="1"/>
  <c r="J344" i="20"/>
  <c r="M334" i="20"/>
  <c r="M332" i="20" s="1"/>
  <c r="M330" i="20" s="1"/>
  <c r="L334" i="20"/>
  <c r="N334" i="20" s="1"/>
  <c r="L333" i="20"/>
  <c r="N331" i="20"/>
  <c r="J330" i="20"/>
  <c r="I327" i="20"/>
  <c r="I326" i="20"/>
  <c r="K326" i="20" s="1"/>
  <c r="I324" i="20"/>
  <c r="I323" i="20"/>
  <c r="K323" i="20" s="1"/>
  <c r="I322" i="20"/>
  <c r="I321" i="20"/>
  <c r="I320" i="20"/>
  <c r="I319" i="20"/>
  <c r="K319" i="20" s="1"/>
  <c r="I318" i="20"/>
  <c r="K318" i="20" s="1"/>
  <c r="I317" i="20"/>
  <c r="K317" i="20" s="1"/>
  <c r="I316" i="20"/>
  <c r="I315" i="20"/>
  <c r="I314" i="20"/>
  <c r="K314" i="20" s="1"/>
  <c r="I313" i="20"/>
  <c r="K313" i="20" s="1"/>
  <c r="I312" i="20"/>
  <c r="M301" i="20"/>
  <c r="M299" i="20" s="1"/>
  <c r="M296" i="20" s="1"/>
  <c r="L301" i="20"/>
  <c r="L300" i="20"/>
  <c r="N300" i="20" s="1"/>
  <c r="N298" i="20"/>
  <c r="J296" i="20"/>
  <c r="I293" i="20"/>
  <c r="K293" i="20" s="1"/>
  <c r="I292" i="20"/>
  <c r="I291" i="20"/>
  <c r="M280" i="20"/>
  <c r="L280" i="20"/>
  <c r="L279" i="20"/>
  <c r="N279" i="20" s="1"/>
  <c r="M278" i="20"/>
  <c r="M275" i="20" s="1"/>
  <c r="N277" i="20"/>
  <c r="J276" i="20"/>
  <c r="J275" i="20"/>
  <c r="I272" i="20"/>
  <c r="K272" i="20" s="1"/>
  <c r="I271" i="20"/>
  <c r="J270" i="20"/>
  <c r="I268" i="20"/>
  <c r="K268" i="20" s="1"/>
  <c r="I266" i="20"/>
  <c r="K266" i="20" s="1"/>
  <c r="I264" i="20"/>
  <c r="J263" i="20"/>
  <c r="I263" i="20"/>
  <c r="J262" i="20"/>
  <c r="I260" i="20"/>
  <c r="K260" i="20" s="1"/>
  <c r="J259" i="20"/>
  <c r="M249" i="20"/>
  <c r="M247" i="20" s="1"/>
  <c r="M244" i="20" s="1"/>
  <c r="M242" i="20" s="1"/>
  <c r="L249" i="20"/>
  <c r="L248" i="20"/>
  <c r="N248" i="20" s="1"/>
  <c r="N246" i="20"/>
  <c r="J245" i="20"/>
  <c r="J244" i="20"/>
  <c r="K241" i="20"/>
  <c r="J241" i="20"/>
  <c r="J240" i="20"/>
  <c r="J228" i="20" s="1"/>
  <c r="I240" i="20"/>
  <c r="K240" i="20" s="1"/>
  <c r="K239" i="20"/>
  <c r="J239" i="20"/>
  <c r="J238" i="20"/>
  <c r="I238" i="20"/>
  <c r="K238" i="20" s="1"/>
  <c r="K237" i="20"/>
  <c r="J237" i="20"/>
  <c r="J236" i="20"/>
  <c r="I236" i="20"/>
  <c r="J235" i="20"/>
  <c r="I235" i="20"/>
  <c r="K235" i="20" s="1"/>
  <c r="K234" i="20"/>
  <c r="J234" i="20"/>
  <c r="L232" i="20"/>
  <c r="N232" i="20" s="1"/>
  <c r="L231" i="20"/>
  <c r="M230" i="20"/>
  <c r="N229" i="20"/>
  <c r="M228" i="20"/>
  <c r="I224" i="20"/>
  <c r="I214" i="20" s="1"/>
  <c r="K214" i="20" s="1"/>
  <c r="L218" i="20"/>
  <c r="N217" i="20"/>
  <c r="M216" i="20"/>
  <c r="N215" i="20"/>
  <c r="M214" i="20"/>
  <c r="J214" i="20"/>
  <c r="I211" i="20"/>
  <c r="K211" i="20" s="1"/>
  <c r="I209" i="20"/>
  <c r="L203" i="20"/>
  <c r="N203" i="20" s="1"/>
  <c r="N202" i="20"/>
  <c r="M201" i="20"/>
  <c r="N200" i="20"/>
  <c r="M199" i="20"/>
  <c r="J199" i="20"/>
  <c r="I195" i="20"/>
  <c r="I185" i="20" s="1"/>
  <c r="K185" i="20" s="1"/>
  <c r="L189" i="20"/>
  <c r="N189" i="20" s="1"/>
  <c r="L188" i="20"/>
  <c r="N188" i="20" s="1"/>
  <c r="M187" i="20"/>
  <c r="N186" i="20"/>
  <c r="M185" i="20"/>
  <c r="J185" i="20"/>
  <c r="I182" i="20"/>
  <c r="K182" i="20" s="1"/>
  <c r="I181" i="20"/>
  <c r="K181" i="20" s="1"/>
  <c r="I180" i="20"/>
  <c r="K180" i="20" s="1"/>
  <c r="I179" i="20"/>
  <c r="K179" i="20" s="1"/>
  <c r="L173" i="20"/>
  <c r="L172" i="20"/>
  <c r="N172" i="20" s="1"/>
  <c r="M171" i="20"/>
  <c r="M169" i="20" s="1"/>
  <c r="N170" i="20"/>
  <c r="J169" i="20"/>
  <c r="K164" i="20"/>
  <c r="J158" i="20"/>
  <c r="I158" i="20"/>
  <c r="K158" i="20" s="1"/>
  <c r="I155" i="20"/>
  <c r="K155" i="20" s="1"/>
  <c r="J149" i="20"/>
  <c r="L148" i="20"/>
  <c r="N147" i="20"/>
  <c r="M146" i="20"/>
  <c r="N145" i="20"/>
  <c r="M144" i="20"/>
  <c r="L141" i="20"/>
  <c r="N141" i="20" s="1"/>
  <c r="I141" i="20"/>
  <c r="K141" i="20" s="1"/>
  <c r="L140" i="20"/>
  <c r="N140" i="20" s="1"/>
  <c r="I140" i="20"/>
  <c r="K140" i="20" s="1"/>
  <c r="L138" i="20"/>
  <c r="N138" i="20" s="1"/>
  <c r="I138" i="20"/>
  <c r="I129" i="20" s="1"/>
  <c r="L132" i="20"/>
  <c r="L131" i="20" s="1"/>
  <c r="N131" i="20" s="1"/>
  <c r="M131" i="20"/>
  <c r="N130" i="20"/>
  <c r="M129" i="20"/>
  <c r="J129" i="20"/>
  <c r="L126" i="20"/>
  <c r="N126" i="20" s="1"/>
  <c r="I126" i="20"/>
  <c r="K126" i="20" s="1"/>
  <c r="L125" i="20"/>
  <c r="N125" i="20" s="1"/>
  <c r="I125" i="20"/>
  <c r="I114" i="20" s="1"/>
  <c r="K114" i="20" s="1"/>
  <c r="I124" i="20"/>
  <c r="K124" i="20" s="1"/>
  <c r="L117" i="20"/>
  <c r="M116" i="20"/>
  <c r="N115" i="20"/>
  <c r="M114" i="20"/>
  <c r="J114" i="20"/>
  <c r="L111" i="20"/>
  <c r="N111" i="20" s="1"/>
  <c r="I111" i="20"/>
  <c r="L110" i="20"/>
  <c r="N110" i="20" s="1"/>
  <c r="I110" i="20"/>
  <c r="K110" i="20" s="1"/>
  <c r="L104" i="20"/>
  <c r="N104" i="20" s="1"/>
  <c r="M103" i="20"/>
  <c r="N102" i="20"/>
  <c r="M101" i="20"/>
  <c r="J101" i="20"/>
  <c r="L98" i="20"/>
  <c r="N98" i="20" s="1"/>
  <c r="I98" i="20"/>
  <c r="I89" i="20" s="1"/>
  <c r="L92" i="20"/>
  <c r="M91" i="20"/>
  <c r="N90" i="20"/>
  <c r="M89" i="20"/>
  <c r="J89" i="20"/>
  <c r="J84" i="20"/>
  <c r="I83" i="20"/>
  <c r="K83" i="20" s="1"/>
  <c r="L77" i="20"/>
  <c r="M76" i="20"/>
  <c r="N75" i="20"/>
  <c r="M74" i="20"/>
  <c r="J74" i="20"/>
  <c r="M73" i="20"/>
  <c r="M71" i="20" s="1"/>
  <c r="M68" i="20" s="1"/>
  <c r="L72" i="20"/>
  <c r="N70" i="20"/>
  <c r="J68" i="20"/>
  <c r="I62" i="20"/>
  <c r="I63" i="20" s="1"/>
  <c r="K63" i="20" s="1"/>
  <c r="L56" i="20"/>
  <c r="L55" i="20"/>
  <c r="N55" i="20" s="1"/>
  <c r="M54" i="20"/>
  <c r="M52" i="20" s="1"/>
  <c r="M6" i="20" s="1"/>
  <c r="N53" i="20"/>
  <c r="J52" i="20"/>
  <c r="I48" i="20"/>
  <c r="I47" i="20"/>
  <c r="K47" i="20" s="1"/>
  <c r="I46" i="20"/>
  <c r="K46" i="20" s="1"/>
  <c r="I45" i="20"/>
  <c r="K45" i="20" s="1"/>
  <c r="I44" i="20"/>
  <c r="I43" i="20"/>
  <c r="K43" i="20" s="1"/>
  <c r="L37" i="20"/>
  <c r="N37" i="20" s="1"/>
  <c r="L36" i="20"/>
  <c r="N36" i="20" s="1"/>
  <c r="M35" i="20"/>
  <c r="L35" i="20"/>
  <c r="N34" i="20"/>
  <c r="J33" i="20"/>
  <c r="M32" i="20"/>
  <c r="J32" i="20"/>
  <c r="I28" i="20"/>
  <c r="K28" i="20" s="1"/>
  <c r="I27" i="20"/>
  <c r="K27" i="20" s="1"/>
  <c r="I26" i="20"/>
  <c r="K26" i="20" s="1"/>
  <c r="I25" i="20"/>
  <c r="K25" i="20" s="1"/>
  <c r="I24" i="20"/>
  <c r="K24" i="20" s="1"/>
  <c r="I23" i="20"/>
  <c r="I22" i="20"/>
  <c r="J21" i="20"/>
  <c r="J20" i="20"/>
  <c r="J9" i="20" s="1"/>
  <c r="L14" i="20"/>
  <c r="N14" i="20" s="1"/>
  <c r="L13" i="20"/>
  <c r="N13" i="20" s="1"/>
  <c r="M12" i="20"/>
  <c r="M9" i="20" s="1"/>
  <c r="L12" i="20"/>
  <c r="N11" i="20"/>
  <c r="J10" i="20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17" i="19"/>
  <c r="I517" i="19"/>
  <c r="J514" i="19"/>
  <c r="I514" i="19"/>
  <c r="J513" i="19"/>
  <c r="I513" i="19"/>
  <c r="J510" i="19"/>
  <c r="I510" i="19"/>
  <c r="J504" i="19"/>
  <c r="I504" i="19"/>
  <c r="K506" i="19" s="1"/>
  <c r="M494" i="19"/>
  <c r="L494" i="19"/>
  <c r="N494" i="19" s="1"/>
  <c r="L493" i="19"/>
  <c r="M492" i="19"/>
  <c r="N491" i="19"/>
  <c r="M490" i="19"/>
  <c r="J490" i="19"/>
  <c r="J489" i="19"/>
  <c r="I489" i="19"/>
  <c r="K489" i="19" s="1"/>
  <c r="J488" i="19"/>
  <c r="J473" i="19" s="1"/>
  <c r="I488" i="19"/>
  <c r="J487" i="19"/>
  <c r="I487" i="19"/>
  <c r="K487" i="19" s="1"/>
  <c r="J486" i="19"/>
  <c r="I486" i="19"/>
  <c r="J485" i="19"/>
  <c r="I485" i="19"/>
  <c r="K485" i="19" s="1"/>
  <c r="J484" i="19"/>
  <c r="I484" i="19"/>
  <c r="J483" i="19"/>
  <c r="I483" i="19"/>
  <c r="K483" i="19" s="1"/>
  <c r="J482" i="19"/>
  <c r="I482" i="19"/>
  <c r="M477" i="19"/>
  <c r="L477" i="19"/>
  <c r="L476" i="19"/>
  <c r="N474" i="19"/>
  <c r="K472" i="19"/>
  <c r="K471" i="19"/>
  <c r="K470" i="19"/>
  <c r="K469" i="19"/>
  <c r="K468" i="19"/>
  <c r="J466" i="19"/>
  <c r="I466" i="19"/>
  <c r="K466" i="19" s="1"/>
  <c r="M461" i="19"/>
  <c r="L461" i="19"/>
  <c r="L460" i="19"/>
  <c r="N460" i="19" s="1"/>
  <c r="M459" i="19"/>
  <c r="N458" i="19"/>
  <c r="M457" i="19"/>
  <c r="J457" i="19"/>
  <c r="I456" i="19"/>
  <c r="K456" i="19" s="1"/>
  <c r="I455" i="19"/>
  <c r="K455" i="19" s="1"/>
  <c r="I454" i="19"/>
  <c r="K454" i="19" s="1"/>
  <c r="I453" i="19"/>
  <c r="M448" i="19"/>
  <c r="L448" i="19"/>
  <c r="N448" i="19" s="1"/>
  <c r="L447" i="19"/>
  <c r="M446" i="19"/>
  <c r="M444" i="19" s="1"/>
  <c r="N445" i="19"/>
  <c r="J444" i="19"/>
  <c r="I441" i="19"/>
  <c r="K441" i="19" s="1"/>
  <c r="I440" i="19"/>
  <c r="M430" i="19"/>
  <c r="L430" i="19"/>
  <c r="N430" i="19" s="1"/>
  <c r="L429" i="19"/>
  <c r="M428" i="19"/>
  <c r="N427" i="19"/>
  <c r="M426" i="19"/>
  <c r="J426" i="19"/>
  <c r="K425" i="19"/>
  <c r="K424" i="19"/>
  <c r="K423" i="19"/>
  <c r="K422" i="19"/>
  <c r="K421" i="19"/>
  <c r="K420" i="19"/>
  <c r="K417" i="19"/>
  <c r="J417" i="19"/>
  <c r="I419" i="19" s="1"/>
  <c r="K419" i="19" s="1"/>
  <c r="K416" i="19"/>
  <c r="J416" i="19"/>
  <c r="I418" i="19" s="1"/>
  <c r="K418" i="19" s="1"/>
  <c r="K415" i="19"/>
  <c r="J415" i="19"/>
  <c r="K414" i="19"/>
  <c r="J414" i="19"/>
  <c r="K413" i="19"/>
  <c r="J413" i="19"/>
  <c r="K412" i="19"/>
  <c r="J412" i="19"/>
  <c r="I411" i="19"/>
  <c r="K411" i="19" s="1"/>
  <c r="I410" i="19"/>
  <c r="K410" i="19" s="1"/>
  <c r="I409" i="19"/>
  <c r="K409" i="19" s="1"/>
  <c r="K408" i="19"/>
  <c r="K407" i="19"/>
  <c r="K406" i="19"/>
  <c r="K405" i="19"/>
  <c r="K404" i="19"/>
  <c r="K403" i="19"/>
  <c r="K402" i="19"/>
  <c r="J402" i="19"/>
  <c r="K401" i="19"/>
  <c r="J401" i="19"/>
  <c r="J391" i="19" s="1"/>
  <c r="J390" i="19" s="1"/>
  <c r="K400" i="19"/>
  <c r="K399" i="19"/>
  <c r="K398" i="19"/>
  <c r="K397" i="19"/>
  <c r="K396" i="19"/>
  <c r="K395" i="19"/>
  <c r="K394" i="19"/>
  <c r="J394" i="19"/>
  <c r="J392" i="19" s="1"/>
  <c r="K393" i="19"/>
  <c r="J393" i="19"/>
  <c r="I392" i="19"/>
  <c r="I391" i="19"/>
  <c r="I390" i="19"/>
  <c r="K389" i="19"/>
  <c r="K388" i="19"/>
  <c r="K387" i="19"/>
  <c r="K386" i="19"/>
  <c r="K385" i="19"/>
  <c r="K384" i="19"/>
  <c r="K383" i="19"/>
  <c r="J383" i="19"/>
  <c r="J377" i="19" s="1"/>
  <c r="K382" i="19"/>
  <c r="J382" i="19"/>
  <c r="K381" i="19"/>
  <c r="K380" i="19"/>
  <c r="K379" i="19"/>
  <c r="K378" i="19"/>
  <c r="J376" i="19"/>
  <c r="J359" i="19" s="1"/>
  <c r="K375" i="19"/>
  <c r="K374" i="19"/>
  <c r="K373" i="19"/>
  <c r="K372" i="19"/>
  <c r="K371" i="19"/>
  <c r="K370" i="19"/>
  <c r="J369" i="19"/>
  <c r="J368" i="19"/>
  <c r="K367" i="19"/>
  <c r="K366" i="19"/>
  <c r="K365" i="19"/>
  <c r="K364" i="19"/>
  <c r="K363" i="19"/>
  <c r="K362" i="19"/>
  <c r="J361" i="19"/>
  <c r="I361" i="19"/>
  <c r="J360" i="19"/>
  <c r="I360" i="19"/>
  <c r="K360" i="19" s="1"/>
  <c r="I359" i="19"/>
  <c r="M354" i="19"/>
  <c r="M352" i="19" s="1"/>
  <c r="M350" i="19" s="1"/>
  <c r="L354" i="19"/>
  <c r="N354" i="19" s="1"/>
  <c r="L353" i="19"/>
  <c r="N351" i="19"/>
  <c r="J350" i="19"/>
  <c r="I347" i="19"/>
  <c r="K347" i="19" s="1"/>
  <c r="I346" i="19"/>
  <c r="K346" i="19" s="1"/>
  <c r="I345" i="19"/>
  <c r="J344" i="19"/>
  <c r="M334" i="19"/>
  <c r="M332" i="19" s="1"/>
  <c r="M330" i="19" s="1"/>
  <c r="L334" i="19"/>
  <c r="N334" i="19" s="1"/>
  <c r="L333" i="19"/>
  <c r="N331" i="19"/>
  <c r="J330" i="19"/>
  <c r="I327" i="19"/>
  <c r="I326" i="19"/>
  <c r="K326" i="19" s="1"/>
  <c r="I324" i="19"/>
  <c r="K324" i="19" s="1"/>
  <c r="I323" i="19"/>
  <c r="I322" i="19"/>
  <c r="K322" i="19" s="1"/>
  <c r="I321" i="19"/>
  <c r="I320" i="19"/>
  <c r="K320" i="19" s="1"/>
  <c r="I319" i="19"/>
  <c r="K319" i="19" s="1"/>
  <c r="I318" i="19"/>
  <c r="I317" i="19"/>
  <c r="K317" i="19" s="1"/>
  <c r="I316" i="19"/>
  <c r="I315" i="19"/>
  <c r="I314" i="19"/>
  <c r="K314" i="19" s="1"/>
  <c r="I313" i="19"/>
  <c r="K313" i="19" s="1"/>
  <c r="I312" i="19"/>
  <c r="K312" i="19" s="1"/>
  <c r="M301" i="19"/>
  <c r="L301" i="19"/>
  <c r="N301" i="19" s="1"/>
  <c r="L300" i="19"/>
  <c r="M299" i="19"/>
  <c r="M296" i="19" s="1"/>
  <c r="N298" i="19"/>
  <c r="J296" i="19"/>
  <c r="I293" i="19"/>
  <c r="K293" i="19" s="1"/>
  <c r="I292" i="19"/>
  <c r="K292" i="19" s="1"/>
  <c r="I291" i="19"/>
  <c r="M280" i="19"/>
  <c r="L280" i="19"/>
  <c r="N280" i="19" s="1"/>
  <c r="L279" i="19"/>
  <c r="N279" i="19" s="1"/>
  <c r="M278" i="19"/>
  <c r="M275" i="19" s="1"/>
  <c r="N277" i="19"/>
  <c r="J276" i="19"/>
  <c r="J275" i="19"/>
  <c r="I272" i="19"/>
  <c r="I271" i="19"/>
  <c r="K271" i="19" s="1"/>
  <c r="J270" i="19"/>
  <c r="J244" i="19" s="1"/>
  <c r="I268" i="19"/>
  <c r="K268" i="19" s="1"/>
  <c r="I266" i="19"/>
  <c r="K266" i="19" s="1"/>
  <c r="I264" i="19"/>
  <c r="J263" i="19"/>
  <c r="I263" i="19"/>
  <c r="I245" i="19" s="1"/>
  <c r="K245" i="19" s="1"/>
  <c r="J262" i="19"/>
  <c r="I260" i="19"/>
  <c r="K260" i="19" s="1"/>
  <c r="J259" i="19"/>
  <c r="M249" i="19"/>
  <c r="L249" i="19"/>
  <c r="N249" i="19" s="1"/>
  <c r="L248" i="19"/>
  <c r="M247" i="19"/>
  <c r="M244" i="19" s="1"/>
  <c r="N246" i="19"/>
  <c r="J245" i="19"/>
  <c r="K241" i="19"/>
  <c r="J241" i="19"/>
  <c r="J240" i="19"/>
  <c r="J228" i="19" s="1"/>
  <c r="I240" i="19"/>
  <c r="K239" i="19"/>
  <c r="J239" i="19"/>
  <c r="J238" i="19"/>
  <c r="I238" i="19"/>
  <c r="K237" i="19"/>
  <c r="J237" i="19"/>
  <c r="J236" i="19"/>
  <c r="I236" i="19"/>
  <c r="I228" i="19" s="1"/>
  <c r="J235" i="19"/>
  <c r="I235" i="19"/>
  <c r="K234" i="19"/>
  <c r="J234" i="19"/>
  <c r="L232" i="19"/>
  <c r="N232" i="19" s="1"/>
  <c r="L231" i="19"/>
  <c r="N231" i="19" s="1"/>
  <c r="M230" i="19"/>
  <c r="N229" i="19"/>
  <c r="M228" i="19"/>
  <c r="I224" i="19"/>
  <c r="I214" i="19" s="1"/>
  <c r="K214" i="19" s="1"/>
  <c r="L218" i="19"/>
  <c r="N218" i="19" s="1"/>
  <c r="N217" i="19"/>
  <c r="M216" i="19"/>
  <c r="N215" i="19"/>
  <c r="M214" i="19"/>
  <c r="J214" i="19"/>
  <c r="I211" i="19"/>
  <c r="K211" i="19" s="1"/>
  <c r="I209" i="19"/>
  <c r="L203" i="19"/>
  <c r="N202" i="19"/>
  <c r="M201" i="19"/>
  <c r="N200" i="19"/>
  <c r="M199" i="19"/>
  <c r="J199" i="19"/>
  <c r="I195" i="19"/>
  <c r="K195" i="19" s="1"/>
  <c r="L189" i="19"/>
  <c r="N189" i="19" s="1"/>
  <c r="L188" i="19"/>
  <c r="M187" i="19"/>
  <c r="N186" i="19"/>
  <c r="M185" i="19"/>
  <c r="J185" i="19"/>
  <c r="I182" i="19"/>
  <c r="K182" i="19" s="1"/>
  <c r="I181" i="19"/>
  <c r="K181" i="19" s="1"/>
  <c r="I180" i="19"/>
  <c r="I169" i="19" s="1"/>
  <c r="I179" i="19"/>
  <c r="K179" i="19" s="1"/>
  <c r="L173" i="19"/>
  <c r="N173" i="19" s="1"/>
  <c r="L172" i="19"/>
  <c r="M171" i="19"/>
  <c r="N170" i="19"/>
  <c r="M169" i="19"/>
  <c r="J169" i="19"/>
  <c r="K164" i="19"/>
  <c r="K158" i="19"/>
  <c r="J158" i="19"/>
  <c r="I158" i="19"/>
  <c r="I155" i="19"/>
  <c r="J149" i="19"/>
  <c r="J144" i="19" s="1"/>
  <c r="L148" i="19"/>
  <c r="N147" i="19"/>
  <c r="M146" i="19"/>
  <c r="M144" i="19" s="1"/>
  <c r="N145" i="19"/>
  <c r="L141" i="19"/>
  <c r="N141" i="19" s="1"/>
  <c r="I141" i="19"/>
  <c r="K141" i="19" s="1"/>
  <c r="L140" i="19"/>
  <c r="N140" i="19" s="1"/>
  <c r="I140" i="19"/>
  <c r="K140" i="19" s="1"/>
  <c r="L138" i="19"/>
  <c r="N138" i="19" s="1"/>
  <c r="I138" i="19"/>
  <c r="L132" i="19"/>
  <c r="M131" i="19"/>
  <c r="N130" i="19"/>
  <c r="M129" i="19"/>
  <c r="J129" i="19"/>
  <c r="L126" i="19"/>
  <c r="N126" i="19" s="1"/>
  <c r="I126" i="19"/>
  <c r="L125" i="19"/>
  <c r="N125" i="19" s="1"/>
  <c r="I125" i="19"/>
  <c r="I124" i="19"/>
  <c r="K124" i="19" s="1"/>
  <c r="L117" i="19"/>
  <c r="M116" i="19"/>
  <c r="N115" i="19"/>
  <c r="M114" i="19"/>
  <c r="J114" i="19"/>
  <c r="L111" i="19"/>
  <c r="N111" i="19" s="1"/>
  <c r="I111" i="19"/>
  <c r="K111" i="19" s="1"/>
  <c r="L110" i="19"/>
  <c r="N110" i="19" s="1"/>
  <c r="I110" i="19"/>
  <c r="K110" i="19" s="1"/>
  <c r="L104" i="19"/>
  <c r="M103" i="19"/>
  <c r="N102" i="19"/>
  <c r="M101" i="19"/>
  <c r="J101" i="19"/>
  <c r="L98" i="19"/>
  <c r="N98" i="19" s="1"/>
  <c r="I98" i="19"/>
  <c r="L92" i="19"/>
  <c r="M91" i="19"/>
  <c r="N90" i="19"/>
  <c r="M89" i="19"/>
  <c r="J89" i="19"/>
  <c r="J84" i="19"/>
  <c r="I83" i="19"/>
  <c r="K83" i="19" s="1"/>
  <c r="L77" i="19"/>
  <c r="N77" i="19" s="1"/>
  <c r="M76" i="19"/>
  <c r="N75" i="19"/>
  <c r="M74" i="19"/>
  <c r="J74" i="19"/>
  <c r="M73" i="19"/>
  <c r="L72" i="19"/>
  <c r="N72" i="19" s="1"/>
  <c r="M71" i="19"/>
  <c r="N70" i="19"/>
  <c r="M68" i="19"/>
  <c r="J68" i="19"/>
  <c r="I62" i="19"/>
  <c r="L56" i="19"/>
  <c r="N56" i="19" s="1"/>
  <c r="L55" i="19"/>
  <c r="M54" i="19"/>
  <c r="M52" i="19" s="1"/>
  <c r="N53" i="19"/>
  <c r="J52" i="19"/>
  <c r="I48" i="19"/>
  <c r="I47" i="19"/>
  <c r="K47" i="19" s="1"/>
  <c r="I46" i="19"/>
  <c r="K46" i="19" s="1"/>
  <c r="I45" i="19"/>
  <c r="K45" i="19" s="1"/>
  <c r="I44" i="19"/>
  <c r="K44" i="19" s="1"/>
  <c r="I43" i="19"/>
  <c r="K43" i="19" s="1"/>
  <c r="L37" i="19"/>
  <c r="N37" i="19" s="1"/>
  <c r="L36" i="19"/>
  <c r="N36" i="19" s="1"/>
  <c r="M35" i="19"/>
  <c r="M32" i="19" s="1"/>
  <c r="L35" i="19"/>
  <c r="N34" i="19"/>
  <c r="J33" i="19"/>
  <c r="J32" i="19"/>
  <c r="I28" i="19"/>
  <c r="K28" i="19" s="1"/>
  <c r="I27" i="19"/>
  <c r="K27" i="19" s="1"/>
  <c r="I26" i="19"/>
  <c r="K26" i="19" s="1"/>
  <c r="I25" i="19"/>
  <c r="K25" i="19" s="1"/>
  <c r="I24" i="19"/>
  <c r="K24" i="19" s="1"/>
  <c r="I23" i="19"/>
  <c r="K23" i="19" s="1"/>
  <c r="I22" i="19"/>
  <c r="J21" i="19"/>
  <c r="J20" i="19"/>
  <c r="J9" i="19" s="1"/>
  <c r="L14" i="19"/>
  <c r="N14" i="19" s="1"/>
  <c r="L13" i="19"/>
  <c r="N13" i="19" s="1"/>
  <c r="M12" i="19"/>
  <c r="M9" i="19" s="1"/>
  <c r="L12" i="19"/>
  <c r="N12" i="19" s="1"/>
  <c r="N11" i="19"/>
  <c r="J10" i="19"/>
  <c r="J528" i="18"/>
  <c r="I528" i="18"/>
  <c r="J527" i="18"/>
  <c r="I527" i="18"/>
  <c r="J526" i="18"/>
  <c r="I526" i="18"/>
  <c r="K526" i="18" s="1"/>
  <c r="J525" i="18"/>
  <c r="I525" i="18"/>
  <c r="K525" i="18" s="1"/>
  <c r="J524" i="18"/>
  <c r="I524" i="18"/>
  <c r="J523" i="18"/>
  <c r="I523" i="18"/>
  <c r="J522" i="18"/>
  <c r="I522" i="18"/>
  <c r="J521" i="18"/>
  <c r="I521" i="18"/>
  <c r="J517" i="18"/>
  <c r="I517" i="18"/>
  <c r="J514" i="18"/>
  <c r="I514" i="18"/>
  <c r="J513" i="18"/>
  <c r="I513" i="18"/>
  <c r="J510" i="18"/>
  <c r="I510" i="18"/>
  <c r="J504" i="18"/>
  <c r="I504" i="18"/>
  <c r="K512" i="18" s="1"/>
  <c r="M494" i="18"/>
  <c r="M492" i="18" s="1"/>
  <c r="M490" i="18" s="1"/>
  <c r="L494" i="18"/>
  <c r="N494" i="18" s="1"/>
  <c r="L493" i="18"/>
  <c r="N491" i="18"/>
  <c r="J490" i="18"/>
  <c r="J489" i="18"/>
  <c r="I489" i="18"/>
  <c r="K489" i="18" s="1"/>
  <c r="J488" i="18"/>
  <c r="J473" i="18" s="1"/>
  <c r="I488" i="18"/>
  <c r="J487" i="18"/>
  <c r="I487" i="18"/>
  <c r="K487" i="18" s="1"/>
  <c r="J486" i="18"/>
  <c r="I486" i="18"/>
  <c r="J485" i="18"/>
  <c r="I485" i="18"/>
  <c r="K485" i="18" s="1"/>
  <c r="J484" i="18"/>
  <c r="I484" i="18"/>
  <c r="J483" i="18"/>
  <c r="I483" i="18"/>
  <c r="K483" i="18" s="1"/>
  <c r="J482" i="18"/>
  <c r="I482" i="18"/>
  <c r="M477" i="18"/>
  <c r="L477" i="18"/>
  <c r="L476" i="18"/>
  <c r="N474" i="18"/>
  <c r="K472" i="18"/>
  <c r="K471" i="18"/>
  <c r="K470" i="18"/>
  <c r="K469" i="18"/>
  <c r="K468" i="18"/>
  <c r="J466" i="18"/>
  <c r="I466" i="18"/>
  <c r="M461" i="18"/>
  <c r="L461" i="18"/>
  <c r="N461" i="18" s="1"/>
  <c r="L460" i="18"/>
  <c r="N460" i="18" s="1"/>
  <c r="M459" i="18"/>
  <c r="M457" i="18" s="1"/>
  <c r="N458" i="18"/>
  <c r="J457" i="18"/>
  <c r="I456" i="18"/>
  <c r="K456" i="18" s="1"/>
  <c r="I455" i="18"/>
  <c r="K455" i="18" s="1"/>
  <c r="I454" i="18"/>
  <c r="K454" i="18" s="1"/>
  <c r="I453" i="18"/>
  <c r="K453" i="18" s="1"/>
  <c r="M448" i="18"/>
  <c r="L448" i="18"/>
  <c r="N448" i="18" s="1"/>
  <c r="L447" i="18"/>
  <c r="M446" i="18"/>
  <c r="M444" i="18" s="1"/>
  <c r="N445" i="18"/>
  <c r="J444" i="18"/>
  <c r="I441" i="18"/>
  <c r="K441" i="18" s="1"/>
  <c r="I440" i="18"/>
  <c r="M430" i="18"/>
  <c r="L430" i="18"/>
  <c r="N430" i="18" s="1"/>
  <c r="L429" i="18"/>
  <c r="N429" i="18" s="1"/>
  <c r="M428" i="18"/>
  <c r="N427" i="18"/>
  <c r="M426" i="18"/>
  <c r="J426" i="18"/>
  <c r="K425" i="18"/>
  <c r="K424" i="18"/>
  <c r="K423" i="18"/>
  <c r="K422" i="18"/>
  <c r="K421" i="18"/>
  <c r="K420" i="18"/>
  <c r="K417" i="18"/>
  <c r="J417" i="18"/>
  <c r="I419" i="18" s="1"/>
  <c r="K419" i="18" s="1"/>
  <c r="K416" i="18"/>
  <c r="J416" i="18"/>
  <c r="I418" i="18" s="1"/>
  <c r="K418" i="18" s="1"/>
  <c r="K415" i="18"/>
  <c r="J415" i="18"/>
  <c r="K414" i="18"/>
  <c r="J414" i="18"/>
  <c r="K413" i="18"/>
  <c r="J413" i="18"/>
  <c r="K412" i="18"/>
  <c r="J412" i="18"/>
  <c r="I411" i="18"/>
  <c r="K411" i="18" s="1"/>
  <c r="I410" i="18"/>
  <c r="K410" i="18" s="1"/>
  <c r="I409" i="18"/>
  <c r="K409" i="18" s="1"/>
  <c r="K408" i="18"/>
  <c r="K407" i="18"/>
  <c r="K406" i="18"/>
  <c r="K405" i="18"/>
  <c r="K404" i="18"/>
  <c r="K403" i="18"/>
  <c r="K402" i="18"/>
  <c r="J402" i="18"/>
  <c r="K401" i="18"/>
  <c r="J401" i="18"/>
  <c r="K400" i="18"/>
  <c r="K399" i="18"/>
  <c r="K398" i="18"/>
  <c r="K397" i="18"/>
  <c r="K396" i="18"/>
  <c r="K395" i="18"/>
  <c r="K394" i="18"/>
  <c r="J394" i="18"/>
  <c r="K393" i="18"/>
  <c r="J393" i="18"/>
  <c r="J392" i="18"/>
  <c r="I392" i="18"/>
  <c r="J391" i="18"/>
  <c r="J390" i="18" s="1"/>
  <c r="I391" i="18"/>
  <c r="I390" i="18"/>
  <c r="K389" i="18"/>
  <c r="K388" i="18"/>
  <c r="K387" i="18"/>
  <c r="K386" i="18"/>
  <c r="K385" i="18"/>
  <c r="K384" i="18"/>
  <c r="K383" i="18"/>
  <c r="J383" i="18"/>
  <c r="J377" i="18" s="1"/>
  <c r="K382" i="18"/>
  <c r="J382" i="18"/>
  <c r="K381" i="18"/>
  <c r="K380" i="18"/>
  <c r="K379" i="18"/>
  <c r="K378" i="18"/>
  <c r="J376" i="18"/>
  <c r="K375" i="18"/>
  <c r="K374" i="18"/>
  <c r="K373" i="18"/>
  <c r="K372" i="18"/>
  <c r="K371" i="18"/>
  <c r="K370" i="18"/>
  <c r="J369" i="18"/>
  <c r="J368" i="18"/>
  <c r="K367" i="18"/>
  <c r="K366" i="18"/>
  <c r="K365" i="18"/>
  <c r="K364" i="18"/>
  <c r="K363" i="18"/>
  <c r="K362" i="18"/>
  <c r="J361" i="18"/>
  <c r="I361" i="18"/>
  <c r="K361" i="18" s="1"/>
  <c r="J360" i="18"/>
  <c r="I360" i="18"/>
  <c r="K360" i="18" s="1"/>
  <c r="J359" i="18"/>
  <c r="I359" i="18"/>
  <c r="M354" i="18"/>
  <c r="M352" i="18" s="1"/>
  <c r="M350" i="18" s="1"/>
  <c r="L354" i="18"/>
  <c r="N354" i="18" s="1"/>
  <c r="L353" i="18"/>
  <c r="N351" i="18"/>
  <c r="J350" i="18"/>
  <c r="I347" i="18"/>
  <c r="K347" i="18" s="1"/>
  <c r="I346" i="18"/>
  <c r="K346" i="18" s="1"/>
  <c r="I345" i="18"/>
  <c r="J344" i="18"/>
  <c r="M334" i="18"/>
  <c r="L334" i="18"/>
  <c r="L333" i="18"/>
  <c r="N331" i="18"/>
  <c r="J330" i="18"/>
  <c r="I327" i="18"/>
  <c r="K327" i="18" s="1"/>
  <c r="I326" i="18"/>
  <c r="I324" i="18"/>
  <c r="K324" i="18" s="1"/>
  <c r="I323" i="18"/>
  <c r="I322" i="18"/>
  <c r="K322" i="18" s="1"/>
  <c r="I321" i="18"/>
  <c r="I320" i="18"/>
  <c r="K320" i="18" s="1"/>
  <c r="I319" i="18"/>
  <c r="K319" i="18" s="1"/>
  <c r="I318" i="18"/>
  <c r="I317" i="18"/>
  <c r="K317" i="18" s="1"/>
  <c r="I316" i="18"/>
  <c r="I315" i="18"/>
  <c r="K315" i="18" s="1"/>
  <c r="I314" i="18"/>
  <c r="K314" i="18" s="1"/>
  <c r="I313" i="18"/>
  <c r="K313" i="18" s="1"/>
  <c r="I312" i="18"/>
  <c r="M301" i="18"/>
  <c r="L301" i="18"/>
  <c r="N301" i="18" s="1"/>
  <c r="L300" i="18"/>
  <c r="M299" i="18"/>
  <c r="M296" i="18" s="1"/>
  <c r="N298" i="18"/>
  <c r="J296" i="18"/>
  <c r="I293" i="18"/>
  <c r="K293" i="18" s="1"/>
  <c r="I292" i="18"/>
  <c r="K292" i="18" s="1"/>
  <c r="I291" i="18"/>
  <c r="I276" i="18" s="1"/>
  <c r="K276" i="18" s="1"/>
  <c r="M280" i="18"/>
  <c r="L280" i="18"/>
  <c r="N280" i="18" s="1"/>
  <c r="L279" i="18"/>
  <c r="M278" i="18"/>
  <c r="M275" i="18" s="1"/>
  <c r="N277" i="18"/>
  <c r="J276" i="18"/>
  <c r="J275" i="18"/>
  <c r="I272" i="18"/>
  <c r="K272" i="18" s="1"/>
  <c r="I271" i="18"/>
  <c r="K271" i="18" s="1"/>
  <c r="J270" i="18"/>
  <c r="J244" i="18" s="1"/>
  <c r="I268" i="18"/>
  <c r="K268" i="18" s="1"/>
  <c r="I266" i="18"/>
  <c r="K266" i="18" s="1"/>
  <c r="I264" i="18"/>
  <c r="J263" i="18"/>
  <c r="I263" i="18"/>
  <c r="I245" i="18" s="1"/>
  <c r="K245" i="18" s="1"/>
  <c r="J262" i="18"/>
  <c r="I260" i="18"/>
  <c r="K260" i="18" s="1"/>
  <c r="J259" i="18"/>
  <c r="M249" i="18"/>
  <c r="L249" i="18"/>
  <c r="N249" i="18" s="1"/>
  <c r="L248" i="18"/>
  <c r="M247" i="18"/>
  <c r="M244" i="18" s="1"/>
  <c r="N246" i="18"/>
  <c r="J245" i="18"/>
  <c r="K241" i="18"/>
  <c r="J241" i="18"/>
  <c r="J240" i="18"/>
  <c r="J228" i="18" s="1"/>
  <c r="I240" i="18"/>
  <c r="K239" i="18"/>
  <c r="J239" i="18"/>
  <c r="J238" i="18"/>
  <c r="I238" i="18"/>
  <c r="K237" i="18"/>
  <c r="J237" i="18"/>
  <c r="J236" i="18"/>
  <c r="I236" i="18"/>
  <c r="J235" i="18"/>
  <c r="I235" i="18"/>
  <c r="K234" i="18"/>
  <c r="J234" i="18"/>
  <c r="L232" i="18"/>
  <c r="N232" i="18" s="1"/>
  <c r="L231" i="18"/>
  <c r="N231" i="18" s="1"/>
  <c r="M230" i="18"/>
  <c r="M228" i="18" s="1"/>
  <c r="N229" i="18"/>
  <c r="I224" i="18"/>
  <c r="L218" i="18"/>
  <c r="N217" i="18"/>
  <c r="M216" i="18"/>
  <c r="N215" i="18"/>
  <c r="M214" i="18"/>
  <c r="J214" i="18"/>
  <c r="I211" i="18"/>
  <c r="K211" i="18" s="1"/>
  <c r="I209" i="18"/>
  <c r="L203" i="18"/>
  <c r="N203" i="18" s="1"/>
  <c r="N202" i="18"/>
  <c r="M201" i="18"/>
  <c r="M199" i="18" s="1"/>
  <c r="N200" i="18"/>
  <c r="J199" i="18"/>
  <c r="I195" i="18"/>
  <c r="L189" i="18"/>
  <c r="N189" i="18" s="1"/>
  <c r="L188" i="18"/>
  <c r="M187" i="18"/>
  <c r="M185" i="18" s="1"/>
  <c r="N186" i="18"/>
  <c r="J185" i="18"/>
  <c r="I182" i="18"/>
  <c r="K182" i="18" s="1"/>
  <c r="I181" i="18"/>
  <c r="K181" i="18" s="1"/>
  <c r="I180" i="18"/>
  <c r="K180" i="18" s="1"/>
  <c r="I179" i="18"/>
  <c r="K179" i="18" s="1"/>
  <c r="L173" i="18"/>
  <c r="N173" i="18" s="1"/>
  <c r="L172" i="18"/>
  <c r="M171" i="18"/>
  <c r="N170" i="18"/>
  <c r="M169" i="18"/>
  <c r="J169" i="18"/>
  <c r="K164" i="18"/>
  <c r="K158" i="18"/>
  <c r="J158" i="18"/>
  <c r="I158" i="18"/>
  <c r="I155" i="18"/>
  <c r="J149" i="18"/>
  <c r="J144" i="18" s="1"/>
  <c r="L148" i="18"/>
  <c r="N147" i="18"/>
  <c r="M146" i="18"/>
  <c r="N145" i="18"/>
  <c r="M144" i="18"/>
  <c r="L141" i="18"/>
  <c r="N141" i="18" s="1"/>
  <c r="I141" i="18"/>
  <c r="K141" i="18" s="1"/>
  <c r="L140" i="18"/>
  <c r="N140" i="18" s="1"/>
  <c r="I140" i="18"/>
  <c r="K140" i="18" s="1"/>
  <c r="N139" i="18"/>
  <c r="N138" i="18"/>
  <c r="I138" i="18"/>
  <c r="M137" i="18"/>
  <c r="L137" i="18"/>
  <c r="N137" i="18" s="1"/>
  <c r="L132" i="18"/>
  <c r="M131" i="18"/>
  <c r="N130" i="18"/>
  <c r="M129" i="18"/>
  <c r="J129" i="18"/>
  <c r="L126" i="18"/>
  <c r="N126" i="18" s="1"/>
  <c r="I126" i="18"/>
  <c r="K126" i="18" s="1"/>
  <c r="L125" i="18"/>
  <c r="N125" i="18" s="1"/>
  <c r="I125" i="18"/>
  <c r="K125" i="18" s="1"/>
  <c r="I124" i="18"/>
  <c r="K124" i="18" s="1"/>
  <c r="L117" i="18"/>
  <c r="N117" i="18" s="1"/>
  <c r="M116" i="18"/>
  <c r="N115" i="18"/>
  <c r="M114" i="18"/>
  <c r="J114" i="18"/>
  <c r="L111" i="18"/>
  <c r="N111" i="18" s="1"/>
  <c r="I111" i="18"/>
  <c r="L110" i="18"/>
  <c r="N110" i="18" s="1"/>
  <c r="I110" i="18"/>
  <c r="K110" i="18" s="1"/>
  <c r="L104" i="18"/>
  <c r="N104" i="18" s="1"/>
  <c r="M103" i="18"/>
  <c r="N102" i="18"/>
  <c r="M101" i="18"/>
  <c r="J101" i="18"/>
  <c r="L98" i="18"/>
  <c r="N98" i="18" s="1"/>
  <c r="I98" i="18"/>
  <c r="K98" i="18" s="1"/>
  <c r="L92" i="18"/>
  <c r="N92" i="18" s="1"/>
  <c r="M91" i="18"/>
  <c r="N90" i="18"/>
  <c r="M89" i="18"/>
  <c r="J89" i="18"/>
  <c r="J84" i="18"/>
  <c r="I83" i="18"/>
  <c r="L77" i="18"/>
  <c r="M76" i="18"/>
  <c r="M74" i="18" s="1"/>
  <c r="N75" i="18"/>
  <c r="J74" i="18"/>
  <c r="M73" i="18"/>
  <c r="L72" i="18"/>
  <c r="N72" i="18" s="1"/>
  <c r="M71" i="18"/>
  <c r="N70" i="18"/>
  <c r="M68" i="18"/>
  <c r="J68" i="18"/>
  <c r="I62" i="18"/>
  <c r="K62" i="18" s="1"/>
  <c r="L56" i="18"/>
  <c r="N56" i="18" s="1"/>
  <c r="L55" i="18"/>
  <c r="N55" i="18" s="1"/>
  <c r="M54" i="18"/>
  <c r="N53" i="18"/>
  <c r="M52" i="18"/>
  <c r="J52" i="18"/>
  <c r="I48" i="18"/>
  <c r="I47" i="18"/>
  <c r="K47" i="18" s="1"/>
  <c r="I46" i="18"/>
  <c r="K46" i="18" s="1"/>
  <c r="I45" i="18"/>
  <c r="K45" i="18" s="1"/>
  <c r="I44" i="18"/>
  <c r="K44" i="18" s="1"/>
  <c r="I43" i="18"/>
  <c r="K43" i="18" s="1"/>
  <c r="L37" i="18"/>
  <c r="N37" i="18" s="1"/>
  <c r="L36" i="18"/>
  <c r="N36" i="18" s="1"/>
  <c r="M35" i="18"/>
  <c r="M32" i="18" s="1"/>
  <c r="L35" i="18"/>
  <c r="N34" i="18"/>
  <c r="J33" i="18"/>
  <c r="J32" i="18"/>
  <c r="I28" i="18"/>
  <c r="K28" i="18" s="1"/>
  <c r="I27" i="18"/>
  <c r="I26" i="18"/>
  <c r="K26" i="18" s="1"/>
  <c r="I25" i="18"/>
  <c r="K25" i="18" s="1"/>
  <c r="I24" i="18"/>
  <c r="K24" i="18" s="1"/>
  <c r="I23" i="18"/>
  <c r="K23" i="18" s="1"/>
  <c r="I22" i="18"/>
  <c r="J21" i="18"/>
  <c r="J20" i="18"/>
  <c r="J9" i="18" s="1"/>
  <c r="L14" i="18"/>
  <c r="N14" i="18" s="1"/>
  <c r="L13" i="18"/>
  <c r="N13" i="18" s="1"/>
  <c r="M12" i="18"/>
  <c r="M9" i="18" s="1"/>
  <c r="M6" i="18" s="1"/>
  <c r="L12" i="18"/>
  <c r="L9" i="18" s="1"/>
  <c r="N11" i="18"/>
  <c r="J10" i="18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17" i="17"/>
  <c r="I517" i="17"/>
  <c r="J514" i="17"/>
  <c r="J513" i="17" s="1"/>
  <c r="I514" i="17"/>
  <c r="I513" i="17"/>
  <c r="J510" i="17"/>
  <c r="I510" i="17"/>
  <c r="J504" i="17"/>
  <c r="I504" i="17"/>
  <c r="M494" i="17"/>
  <c r="L494" i="17"/>
  <c r="N494" i="17" s="1"/>
  <c r="L493" i="17"/>
  <c r="M492" i="17"/>
  <c r="N491" i="17"/>
  <c r="M490" i="17"/>
  <c r="J490" i="17"/>
  <c r="J489" i="17"/>
  <c r="I489" i="17"/>
  <c r="K489" i="17" s="1"/>
  <c r="J488" i="17"/>
  <c r="J473" i="17" s="1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J483" i="17"/>
  <c r="I483" i="17"/>
  <c r="K483" i="17" s="1"/>
  <c r="J482" i="17"/>
  <c r="I482" i="17"/>
  <c r="K482" i="17" s="1"/>
  <c r="M477" i="17"/>
  <c r="M475" i="17" s="1"/>
  <c r="M473" i="17" s="1"/>
  <c r="L477" i="17"/>
  <c r="N477" i="17" s="1"/>
  <c r="L476" i="17"/>
  <c r="N474" i="17"/>
  <c r="K472" i="17"/>
  <c r="K471" i="17"/>
  <c r="K470" i="17"/>
  <c r="K469" i="17"/>
  <c r="K468" i="17"/>
  <c r="J466" i="17"/>
  <c r="I466" i="17"/>
  <c r="I457" i="17" s="1"/>
  <c r="M461" i="17"/>
  <c r="L461" i="17"/>
  <c r="N461" i="17" s="1"/>
  <c r="L460" i="17"/>
  <c r="N460" i="17" s="1"/>
  <c r="M459" i="17"/>
  <c r="N458" i="17"/>
  <c r="M457" i="17"/>
  <c r="I456" i="17"/>
  <c r="K456" i="17" s="1"/>
  <c r="I455" i="17"/>
  <c r="I454" i="17"/>
  <c r="K454" i="17" s="1"/>
  <c r="I453" i="17"/>
  <c r="K453" i="17" s="1"/>
  <c r="M448" i="17"/>
  <c r="L448" i="17"/>
  <c r="N448" i="17" s="1"/>
  <c r="L447" i="17"/>
  <c r="N447" i="17" s="1"/>
  <c r="M446" i="17"/>
  <c r="N445" i="17"/>
  <c r="M444" i="17"/>
  <c r="J444" i="17"/>
  <c r="I441" i="17"/>
  <c r="K441" i="17" s="1"/>
  <c r="I440" i="17"/>
  <c r="M430" i="17"/>
  <c r="L430" i="17"/>
  <c r="N430" i="17" s="1"/>
  <c r="L429" i="17"/>
  <c r="M428" i="17"/>
  <c r="N427" i="17"/>
  <c r="M426" i="17"/>
  <c r="J426" i="17"/>
  <c r="K425" i="17"/>
  <c r="K424" i="17"/>
  <c r="K423" i="17"/>
  <c r="K422" i="17"/>
  <c r="K421" i="17"/>
  <c r="K420" i="17"/>
  <c r="K417" i="17"/>
  <c r="J417" i="17"/>
  <c r="I419" i="17" s="1"/>
  <c r="K419" i="17" s="1"/>
  <c r="K416" i="17"/>
  <c r="J416" i="17"/>
  <c r="I418" i="17" s="1"/>
  <c r="K418" i="17" s="1"/>
  <c r="K415" i="17"/>
  <c r="J415" i="17"/>
  <c r="K414" i="17"/>
  <c r="J414" i="17"/>
  <c r="K413" i="17"/>
  <c r="J413" i="17"/>
  <c r="K412" i="17"/>
  <c r="J412" i="17"/>
  <c r="I411" i="17"/>
  <c r="K411" i="17" s="1"/>
  <c r="I410" i="17"/>
  <c r="K410" i="17" s="1"/>
  <c r="I409" i="17"/>
  <c r="K409" i="17" s="1"/>
  <c r="K408" i="17"/>
  <c r="K407" i="17"/>
  <c r="K406" i="17"/>
  <c r="K405" i="17"/>
  <c r="K404" i="17"/>
  <c r="K403" i="17"/>
  <c r="K402" i="17"/>
  <c r="J402" i="17"/>
  <c r="K401" i="17"/>
  <c r="J401" i="17"/>
  <c r="J391" i="17" s="1"/>
  <c r="J390" i="17" s="1"/>
  <c r="K400" i="17"/>
  <c r="K399" i="17"/>
  <c r="K398" i="17"/>
  <c r="K397" i="17"/>
  <c r="K396" i="17"/>
  <c r="K395" i="17"/>
  <c r="K394" i="17"/>
  <c r="J394" i="17"/>
  <c r="K393" i="17"/>
  <c r="J393" i="17"/>
  <c r="J392" i="17"/>
  <c r="I392" i="17"/>
  <c r="I391" i="17"/>
  <c r="I390" i="17"/>
  <c r="K389" i="17"/>
  <c r="K388" i="17"/>
  <c r="K387" i="17"/>
  <c r="K386" i="17"/>
  <c r="K385" i="17"/>
  <c r="K384" i="17"/>
  <c r="K383" i="17"/>
  <c r="J383" i="17"/>
  <c r="J377" i="17" s="1"/>
  <c r="K382" i="17"/>
  <c r="J382" i="17"/>
  <c r="K381" i="17"/>
  <c r="K380" i="17"/>
  <c r="K379" i="17"/>
  <c r="K378" i="17"/>
  <c r="J376" i="17"/>
  <c r="J359" i="17" s="1"/>
  <c r="K375" i="17"/>
  <c r="K374" i="17"/>
  <c r="K373" i="17"/>
  <c r="K372" i="17"/>
  <c r="K371" i="17"/>
  <c r="K370" i="17"/>
  <c r="J369" i="17"/>
  <c r="J368" i="17"/>
  <c r="K367" i="17"/>
  <c r="K366" i="17"/>
  <c r="K365" i="17"/>
  <c r="K364" i="17"/>
  <c r="K363" i="17"/>
  <c r="K362" i="17"/>
  <c r="J361" i="17"/>
  <c r="I361" i="17"/>
  <c r="J360" i="17"/>
  <c r="I360" i="17"/>
  <c r="K360" i="17" s="1"/>
  <c r="I359" i="17"/>
  <c r="I368" i="17" s="1"/>
  <c r="K368" i="17" s="1"/>
  <c r="M354" i="17"/>
  <c r="M352" i="17" s="1"/>
  <c r="M350" i="17" s="1"/>
  <c r="L354" i="17"/>
  <c r="L353" i="17"/>
  <c r="N351" i="17"/>
  <c r="J350" i="17"/>
  <c r="I347" i="17"/>
  <c r="K347" i="17" s="1"/>
  <c r="I346" i="17"/>
  <c r="K346" i="17" s="1"/>
  <c r="I345" i="17"/>
  <c r="J344" i="17"/>
  <c r="M334" i="17"/>
  <c r="M332" i="17" s="1"/>
  <c r="M330" i="17" s="1"/>
  <c r="L334" i="17"/>
  <c r="L333" i="17"/>
  <c r="N331" i="17"/>
  <c r="J330" i="17"/>
  <c r="I327" i="17"/>
  <c r="K327" i="17" s="1"/>
  <c r="I326" i="17"/>
  <c r="I324" i="17"/>
  <c r="K324" i="17" s="1"/>
  <c r="I323" i="17"/>
  <c r="I322" i="17"/>
  <c r="K322" i="17" s="1"/>
  <c r="I321" i="17"/>
  <c r="I320" i="17"/>
  <c r="K320" i="17" s="1"/>
  <c r="I319" i="17"/>
  <c r="K319" i="17" s="1"/>
  <c r="I318" i="17"/>
  <c r="I317" i="17"/>
  <c r="K317" i="17" s="1"/>
  <c r="I316" i="17"/>
  <c r="I315" i="17"/>
  <c r="K315" i="17" s="1"/>
  <c r="I314" i="17"/>
  <c r="K314" i="17" s="1"/>
  <c r="I313" i="17"/>
  <c r="I312" i="17"/>
  <c r="M301" i="17"/>
  <c r="L301" i="17"/>
  <c r="N301" i="17" s="1"/>
  <c r="L300" i="17"/>
  <c r="N300" i="17" s="1"/>
  <c r="M299" i="17"/>
  <c r="M296" i="17" s="1"/>
  <c r="N298" i="17"/>
  <c r="J296" i="17"/>
  <c r="I293" i="17"/>
  <c r="K293" i="17" s="1"/>
  <c r="I292" i="17"/>
  <c r="K292" i="17" s="1"/>
  <c r="I291" i="17"/>
  <c r="K291" i="17" s="1"/>
  <c r="M280" i="17"/>
  <c r="L280" i="17"/>
  <c r="L279" i="17"/>
  <c r="N279" i="17" s="1"/>
  <c r="M278" i="17"/>
  <c r="M275" i="17" s="1"/>
  <c r="M242" i="17" s="1"/>
  <c r="N277" i="17"/>
  <c r="J276" i="17"/>
  <c r="J275" i="17"/>
  <c r="I272" i="17"/>
  <c r="K272" i="17" s="1"/>
  <c r="I271" i="17"/>
  <c r="K271" i="17" s="1"/>
  <c r="J270" i="17"/>
  <c r="J244" i="17" s="1"/>
  <c r="I268" i="17"/>
  <c r="K268" i="17" s="1"/>
  <c r="I266" i="17"/>
  <c r="K266" i="17" s="1"/>
  <c r="I264" i="17"/>
  <c r="J263" i="17"/>
  <c r="I263" i="17"/>
  <c r="J262" i="17"/>
  <c r="I260" i="17"/>
  <c r="K260" i="17" s="1"/>
  <c r="J259" i="17"/>
  <c r="M249" i="17"/>
  <c r="L249" i="17"/>
  <c r="N249" i="17" s="1"/>
  <c r="L248" i="17"/>
  <c r="N248" i="17" s="1"/>
  <c r="M247" i="17"/>
  <c r="M244" i="17" s="1"/>
  <c r="N246" i="17"/>
  <c r="J245" i="17"/>
  <c r="K241" i="17"/>
  <c r="J241" i="17"/>
  <c r="J240" i="17"/>
  <c r="J228" i="17" s="1"/>
  <c r="I240" i="17"/>
  <c r="K239" i="17"/>
  <c r="J239" i="17"/>
  <c r="J238" i="17"/>
  <c r="I238" i="17"/>
  <c r="K237" i="17"/>
  <c r="J237" i="17"/>
  <c r="J236" i="17"/>
  <c r="I236" i="17"/>
  <c r="I228" i="17" s="1"/>
  <c r="J235" i="17"/>
  <c r="I235" i="17"/>
  <c r="K234" i="17"/>
  <c r="J234" i="17"/>
  <c r="L232" i="17"/>
  <c r="N232" i="17" s="1"/>
  <c r="L231" i="17"/>
  <c r="N231" i="17" s="1"/>
  <c r="M230" i="17"/>
  <c r="M228" i="17" s="1"/>
  <c r="N229" i="17"/>
  <c r="I224" i="17"/>
  <c r="K224" i="17" s="1"/>
  <c r="L218" i="17"/>
  <c r="N217" i="17"/>
  <c r="M216" i="17"/>
  <c r="N215" i="17"/>
  <c r="M214" i="17"/>
  <c r="J214" i="17"/>
  <c r="I211" i="17"/>
  <c r="K211" i="17" s="1"/>
  <c r="I209" i="17"/>
  <c r="K209" i="17" s="1"/>
  <c r="L203" i="17"/>
  <c r="N203" i="17" s="1"/>
  <c r="N202" i="17"/>
  <c r="M201" i="17"/>
  <c r="M199" i="17" s="1"/>
  <c r="N200" i="17"/>
  <c r="J199" i="17"/>
  <c r="I195" i="17"/>
  <c r="K195" i="17" s="1"/>
  <c r="L189" i="17"/>
  <c r="N189" i="17" s="1"/>
  <c r="L188" i="17"/>
  <c r="M187" i="17"/>
  <c r="M185" i="17" s="1"/>
  <c r="N186" i="17"/>
  <c r="J185" i="17"/>
  <c r="I182" i="17"/>
  <c r="K182" i="17" s="1"/>
  <c r="I181" i="17"/>
  <c r="K181" i="17" s="1"/>
  <c r="I180" i="17"/>
  <c r="I179" i="17"/>
  <c r="K179" i="17" s="1"/>
  <c r="L173" i="17"/>
  <c r="N173" i="17" s="1"/>
  <c r="L172" i="17"/>
  <c r="M171" i="17"/>
  <c r="N170" i="17"/>
  <c r="M169" i="17"/>
  <c r="J169" i="17"/>
  <c r="K164" i="17"/>
  <c r="K158" i="17"/>
  <c r="J158" i="17"/>
  <c r="J144" i="17" s="1"/>
  <c r="I158" i="17"/>
  <c r="I155" i="17"/>
  <c r="J149" i="17"/>
  <c r="L148" i="17"/>
  <c r="N147" i="17"/>
  <c r="M146" i="17"/>
  <c r="N145" i="17"/>
  <c r="M144" i="17"/>
  <c r="L141" i="17"/>
  <c r="N141" i="17" s="1"/>
  <c r="I141" i="17"/>
  <c r="K141" i="17" s="1"/>
  <c r="L140" i="17"/>
  <c r="N140" i="17" s="1"/>
  <c r="I140" i="17"/>
  <c r="K140" i="17" s="1"/>
  <c r="L138" i="17"/>
  <c r="N138" i="17" s="1"/>
  <c r="I138" i="17"/>
  <c r="L132" i="17"/>
  <c r="M131" i="17"/>
  <c r="M129" i="17" s="1"/>
  <c r="N130" i="17"/>
  <c r="J129" i="17"/>
  <c r="L126" i="17"/>
  <c r="N126" i="17" s="1"/>
  <c r="I126" i="17"/>
  <c r="K126" i="17" s="1"/>
  <c r="L125" i="17"/>
  <c r="N125" i="17" s="1"/>
  <c r="I125" i="17"/>
  <c r="I124" i="17"/>
  <c r="K124" i="17" s="1"/>
  <c r="L117" i="17"/>
  <c r="M116" i="17"/>
  <c r="N115" i="17"/>
  <c r="M114" i="17"/>
  <c r="J114" i="17"/>
  <c r="L111" i="17"/>
  <c r="N111" i="17" s="1"/>
  <c r="I111" i="17"/>
  <c r="L110" i="17"/>
  <c r="N110" i="17" s="1"/>
  <c r="I110" i="17"/>
  <c r="K110" i="17" s="1"/>
  <c r="L104" i="17"/>
  <c r="M103" i="17"/>
  <c r="N102" i="17"/>
  <c r="M101" i="17"/>
  <c r="J101" i="17"/>
  <c r="L98" i="17"/>
  <c r="N98" i="17" s="1"/>
  <c r="I98" i="17"/>
  <c r="I89" i="17" s="1"/>
  <c r="L92" i="17"/>
  <c r="M91" i="17"/>
  <c r="N90" i="17"/>
  <c r="M89" i="17"/>
  <c r="J89" i="17"/>
  <c r="J84" i="17"/>
  <c r="I83" i="17"/>
  <c r="K83" i="17" s="1"/>
  <c r="L77" i="17"/>
  <c r="M76" i="17"/>
  <c r="N75" i="17"/>
  <c r="M74" i="17"/>
  <c r="J74" i="17"/>
  <c r="M73" i="17"/>
  <c r="L72" i="17"/>
  <c r="N72" i="17" s="1"/>
  <c r="M71" i="17"/>
  <c r="M68" i="17" s="1"/>
  <c r="N70" i="17"/>
  <c r="J68" i="17"/>
  <c r="I62" i="17"/>
  <c r="L56" i="17"/>
  <c r="N56" i="17" s="1"/>
  <c r="L55" i="17"/>
  <c r="M54" i="17"/>
  <c r="N53" i="17"/>
  <c r="M52" i="17"/>
  <c r="J52" i="17"/>
  <c r="I48" i="17"/>
  <c r="I47" i="17"/>
  <c r="K47" i="17" s="1"/>
  <c r="I46" i="17"/>
  <c r="K46" i="17" s="1"/>
  <c r="I45" i="17"/>
  <c r="K45" i="17" s="1"/>
  <c r="I44" i="17"/>
  <c r="I43" i="17"/>
  <c r="K43" i="17" s="1"/>
  <c r="L37" i="17"/>
  <c r="N37" i="17" s="1"/>
  <c r="L36" i="17"/>
  <c r="N36" i="17" s="1"/>
  <c r="M35" i="17"/>
  <c r="M32" i="17" s="1"/>
  <c r="L35" i="17"/>
  <c r="N35" i="17" s="1"/>
  <c r="N34" i="17"/>
  <c r="J33" i="17"/>
  <c r="J32" i="17"/>
  <c r="I28" i="17"/>
  <c r="K28" i="17" s="1"/>
  <c r="I27" i="17"/>
  <c r="K27" i="17" s="1"/>
  <c r="I26" i="17"/>
  <c r="K26" i="17" s="1"/>
  <c r="I25" i="17"/>
  <c r="I24" i="17"/>
  <c r="K24" i="17" s="1"/>
  <c r="I23" i="17"/>
  <c r="K23" i="17" s="1"/>
  <c r="I22" i="17"/>
  <c r="J21" i="17"/>
  <c r="J20" i="17"/>
  <c r="J9" i="17" s="1"/>
  <c r="L14" i="17"/>
  <c r="N14" i="17" s="1"/>
  <c r="L13" i="17"/>
  <c r="N13" i="17" s="1"/>
  <c r="M12" i="17"/>
  <c r="M9" i="17" s="1"/>
  <c r="L12" i="17"/>
  <c r="N12" i="17" s="1"/>
  <c r="N11" i="17"/>
  <c r="J10" i="17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17" i="16"/>
  <c r="I517" i="16"/>
  <c r="J514" i="16"/>
  <c r="J513" i="16" s="1"/>
  <c r="I514" i="16"/>
  <c r="I513" i="16"/>
  <c r="J510" i="16"/>
  <c r="I510" i="16"/>
  <c r="J504" i="16"/>
  <c r="J490" i="16" s="1"/>
  <c r="I504" i="16"/>
  <c r="K507" i="16" s="1"/>
  <c r="M494" i="16"/>
  <c r="L494" i="16"/>
  <c r="N494" i="16" s="1"/>
  <c r="L493" i="16"/>
  <c r="M492" i="16"/>
  <c r="M490" i="16" s="1"/>
  <c r="N491" i="16"/>
  <c r="J489" i="16"/>
  <c r="I489" i="16"/>
  <c r="K489" i="16" s="1"/>
  <c r="J488" i="16"/>
  <c r="J473" i="16" s="1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M477" i="16"/>
  <c r="L477" i="16"/>
  <c r="N477" i="16" s="1"/>
  <c r="L476" i="16"/>
  <c r="M475" i="16"/>
  <c r="N474" i="16"/>
  <c r="M473" i="16"/>
  <c r="K472" i="16"/>
  <c r="K471" i="16"/>
  <c r="K470" i="16"/>
  <c r="K469" i="16"/>
  <c r="K468" i="16"/>
  <c r="J466" i="16"/>
  <c r="I466" i="16"/>
  <c r="M461" i="16"/>
  <c r="L461" i="16"/>
  <c r="L460" i="16"/>
  <c r="N458" i="16"/>
  <c r="J457" i="16"/>
  <c r="I456" i="16"/>
  <c r="K456" i="16" s="1"/>
  <c r="I455" i="16"/>
  <c r="I454" i="16"/>
  <c r="K454" i="16" s="1"/>
  <c r="I453" i="16"/>
  <c r="K453" i="16" s="1"/>
  <c r="M448" i="16"/>
  <c r="L448" i="16"/>
  <c r="L447" i="16"/>
  <c r="N447" i="16" s="1"/>
  <c r="M446" i="16"/>
  <c r="M444" i="16" s="1"/>
  <c r="N445" i="16"/>
  <c r="J444" i="16"/>
  <c r="I441" i="16"/>
  <c r="K441" i="16" s="1"/>
  <c r="I440" i="16"/>
  <c r="K440" i="16" s="1"/>
  <c r="M430" i="16"/>
  <c r="L430" i="16"/>
  <c r="N430" i="16" s="1"/>
  <c r="L429" i="16"/>
  <c r="N429" i="16" s="1"/>
  <c r="M428" i="16"/>
  <c r="N427" i="16"/>
  <c r="M426" i="16"/>
  <c r="J426" i="16"/>
  <c r="K425" i="16"/>
  <c r="K424" i="16"/>
  <c r="K423" i="16"/>
  <c r="K422" i="16"/>
  <c r="K421" i="16"/>
  <c r="K420" i="16"/>
  <c r="K417" i="16"/>
  <c r="J417" i="16"/>
  <c r="I419" i="16" s="1"/>
  <c r="K419" i="16" s="1"/>
  <c r="K416" i="16"/>
  <c r="J416" i="16"/>
  <c r="I418" i="16" s="1"/>
  <c r="K418" i="16" s="1"/>
  <c r="K415" i="16"/>
  <c r="J415" i="16"/>
  <c r="K414" i="16"/>
  <c r="J414" i="16"/>
  <c r="K413" i="16"/>
  <c r="J413" i="16"/>
  <c r="K412" i="16"/>
  <c r="J412" i="16"/>
  <c r="I411" i="16"/>
  <c r="K411" i="16" s="1"/>
  <c r="I410" i="16"/>
  <c r="K410" i="16" s="1"/>
  <c r="I409" i="16"/>
  <c r="K409" i="16" s="1"/>
  <c r="K408" i="16"/>
  <c r="K407" i="16"/>
  <c r="K406" i="16"/>
  <c r="K405" i="16"/>
  <c r="K404" i="16"/>
  <c r="K403" i="16"/>
  <c r="K402" i="16"/>
  <c r="J402" i="16"/>
  <c r="J392" i="16" s="1"/>
  <c r="K401" i="16"/>
  <c r="J401" i="16"/>
  <c r="K400" i="16"/>
  <c r="K399" i="16"/>
  <c r="K398" i="16"/>
  <c r="K397" i="16"/>
  <c r="K396" i="16"/>
  <c r="K395" i="16"/>
  <c r="K394" i="16"/>
  <c r="J394" i="16"/>
  <c r="K393" i="16"/>
  <c r="J393" i="16"/>
  <c r="J391" i="16" s="1"/>
  <c r="I392" i="16"/>
  <c r="I391" i="16"/>
  <c r="I390" i="16"/>
  <c r="K389" i="16"/>
  <c r="K388" i="16"/>
  <c r="K387" i="16"/>
  <c r="K386" i="16"/>
  <c r="K385" i="16"/>
  <c r="K384" i="16"/>
  <c r="K383" i="16"/>
  <c r="J383" i="16"/>
  <c r="K382" i="16"/>
  <c r="J382" i="16"/>
  <c r="K381" i="16"/>
  <c r="K380" i="16"/>
  <c r="K379" i="16"/>
  <c r="K378" i="16"/>
  <c r="J377" i="16"/>
  <c r="J376" i="16"/>
  <c r="J359" i="16" s="1"/>
  <c r="J350" i="16" s="1"/>
  <c r="K375" i="16"/>
  <c r="K374" i="16"/>
  <c r="K373" i="16"/>
  <c r="K372" i="16"/>
  <c r="K371" i="16"/>
  <c r="K370" i="16"/>
  <c r="J369" i="16"/>
  <c r="J368" i="16"/>
  <c r="K367" i="16"/>
  <c r="K366" i="16"/>
  <c r="K365" i="16"/>
  <c r="K364" i="16"/>
  <c r="K363" i="16"/>
  <c r="K362" i="16"/>
  <c r="J361" i="16"/>
  <c r="I361" i="16"/>
  <c r="I377" i="16" s="1"/>
  <c r="K377" i="16" s="1"/>
  <c r="J360" i="16"/>
  <c r="I360" i="16"/>
  <c r="K360" i="16" s="1"/>
  <c r="I359" i="16"/>
  <c r="I376" i="16" s="1"/>
  <c r="K376" i="16" s="1"/>
  <c r="M354" i="16"/>
  <c r="M352" i="16" s="1"/>
  <c r="M350" i="16" s="1"/>
  <c r="L354" i="16"/>
  <c r="N354" i="16" s="1"/>
  <c r="L353" i="16"/>
  <c r="N351" i="16"/>
  <c r="I347" i="16"/>
  <c r="K347" i="16" s="1"/>
  <c r="I346" i="16"/>
  <c r="K346" i="16" s="1"/>
  <c r="I345" i="16"/>
  <c r="J344" i="16"/>
  <c r="M334" i="16"/>
  <c r="M332" i="16" s="1"/>
  <c r="M330" i="16" s="1"/>
  <c r="L334" i="16"/>
  <c r="N334" i="16" s="1"/>
  <c r="L333" i="16"/>
  <c r="N331" i="16"/>
  <c r="J330" i="16"/>
  <c r="I327" i="16"/>
  <c r="I326" i="16"/>
  <c r="K326" i="16" s="1"/>
  <c r="I324" i="16"/>
  <c r="I323" i="16"/>
  <c r="K323" i="16" s="1"/>
  <c r="I322" i="16"/>
  <c r="K322" i="16" s="1"/>
  <c r="I321" i="16"/>
  <c r="I320" i="16"/>
  <c r="I319" i="16"/>
  <c r="K319" i="16" s="1"/>
  <c r="I318" i="16"/>
  <c r="K318" i="16" s="1"/>
  <c r="I317" i="16"/>
  <c r="K317" i="16" s="1"/>
  <c r="I316" i="16"/>
  <c r="I315" i="16"/>
  <c r="I314" i="16"/>
  <c r="K314" i="16" s="1"/>
  <c r="I313" i="16"/>
  <c r="K313" i="16" s="1"/>
  <c r="I312" i="16"/>
  <c r="M301" i="16"/>
  <c r="M299" i="16" s="1"/>
  <c r="M296" i="16" s="1"/>
  <c r="L301" i="16"/>
  <c r="L300" i="16"/>
  <c r="N300" i="16" s="1"/>
  <c r="N298" i="16"/>
  <c r="J296" i="16"/>
  <c r="I293" i="16"/>
  <c r="K293" i="16" s="1"/>
  <c r="I292" i="16"/>
  <c r="K292" i="16" s="1"/>
  <c r="I291" i="16"/>
  <c r="M280" i="16"/>
  <c r="L280" i="16"/>
  <c r="L279" i="16"/>
  <c r="N279" i="16" s="1"/>
  <c r="M278" i="16"/>
  <c r="N277" i="16"/>
  <c r="J276" i="16"/>
  <c r="M275" i="16"/>
  <c r="J275" i="16"/>
  <c r="I272" i="16"/>
  <c r="K272" i="16" s="1"/>
  <c r="I271" i="16"/>
  <c r="J270" i="16"/>
  <c r="I268" i="16"/>
  <c r="K268" i="16" s="1"/>
  <c r="I266" i="16"/>
  <c r="K266" i="16" s="1"/>
  <c r="I264" i="16"/>
  <c r="K264" i="16" s="1"/>
  <c r="J263" i="16"/>
  <c r="I263" i="16"/>
  <c r="J262" i="16"/>
  <c r="I260" i="16"/>
  <c r="K260" i="16" s="1"/>
  <c r="J259" i="16"/>
  <c r="M249" i="16"/>
  <c r="L249" i="16"/>
  <c r="L248" i="16"/>
  <c r="N248" i="16" s="1"/>
  <c r="M247" i="16"/>
  <c r="N246" i="16"/>
  <c r="J245" i="16"/>
  <c r="M244" i="16"/>
  <c r="J244" i="16"/>
  <c r="K241" i="16"/>
  <c r="J241" i="16"/>
  <c r="J240" i="16"/>
  <c r="J228" i="16" s="1"/>
  <c r="I240" i="16"/>
  <c r="K239" i="16"/>
  <c r="J239" i="16"/>
  <c r="J238" i="16"/>
  <c r="I238" i="16"/>
  <c r="K237" i="16"/>
  <c r="J237" i="16"/>
  <c r="J236" i="16"/>
  <c r="I236" i="16"/>
  <c r="I228" i="16" s="1"/>
  <c r="J235" i="16"/>
  <c r="I235" i="16"/>
  <c r="K234" i="16"/>
  <c r="J234" i="16"/>
  <c r="L232" i="16"/>
  <c r="N232" i="16" s="1"/>
  <c r="L231" i="16"/>
  <c r="N231" i="16" s="1"/>
  <c r="M230" i="16"/>
  <c r="M228" i="16" s="1"/>
  <c r="N229" i="16"/>
  <c r="I224" i="16"/>
  <c r="K224" i="16" s="1"/>
  <c r="L218" i="16"/>
  <c r="N217" i="16"/>
  <c r="M216" i="16"/>
  <c r="M214" i="16" s="1"/>
  <c r="N215" i="16"/>
  <c r="J214" i="16"/>
  <c r="I211" i="16"/>
  <c r="K211" i="16" s="1"/>
  <c r="I209" i="16"/>
  <c r="L203" i="16"/>
  <c r="N203" i="16" s="1"/>
  <c r="N202" i="16"/>
  <c r="M201" i="16"/>
  <c r="N200" i="16"/>
  <c r="M199" i="16"/>
  <c r="J199" i="16"/>
  <c r="I195" i="16"/>
  <c r="K195" i="16" s="1"/>
  <c r="L189" i="16"/>
  <c r="L188" i="16"/>
  <c r="N188" i="16" s="1"/>
  <c r="M187" i="16"/>
  <c r="M185" i="16" s="1"/>
  <c r="N186" i="16"/>
  <c r="J185" i="16"/>
  <c r="I185" i="16"/>
  <c r="I182" i="16"/>
  <c r="K182" i="16" s="1"/>
  <c r="I181" i="16"/>
  <c r="K181" i="16" s="1"/>
  <c r="I180" i="16"/>
  <c r="K180" i="16" s="1"/>
  <c r="I179" i="16"/>
  <c r="K179" i="16" s="1"/>
  <c r="L173" i="16"/>
  <c r="N173" i="16" s="1"/>
  <c r="L172" i="16"/>
  <c r="N172" i="16" s="1"/>
  <c r="M171" i="16"/>
  <c r="N170" i="16"/>
  <c r="J169" i="16"/>
  <c r="K164" i="16"/>
  <c r="K158" i="16"/>
  <c r="J158" i="16"/>
  <c r="J144" i="16" s="1"/>
  <c r="I158" i="16"/>
  <c r="I155" i="16"/>
  <c r="J149" i="16"/>
  <c r="L148" i="16"/>
  <c r="N148" i="16" s="1"/>
  <c r="N147" i="16"/>
  <c r="M146" i="16"/>
  <c r="M144" i="16" s="1"/>
  <c r="N145" i="16"/>
  <c r="L141" i="16"/>
  <c r="N141" i="16" s="1"/>
  <c r="I141" i="16"/>
  <c r="K141" i="16" s="1"/>
  <c r="L140" i="16"/>
  <c r="N140" i="16" s="1"/>
  <c r="I140" i="16"/>
  <c r="K140" i="16" s="1"/>
  <c r="L138" i="16"/>
  <c r="N138" i="16" s="1"/>
  <c r="I138" i="16"/>
  <c r="K138" i="16" s="1"/>
  <c r="L132" i="16"/>
  <c r="L131" i="16" s="1"/>
  <c r="M131" i="16"/>
  <c r="N130" i="16"/>
  <c r="M129" i="16"/>
  <c r="J129" i="16"/>
  <c r="L126" i="16"/>
  <c r="N126" i="16" s="1"/>
  <c r="I126" i="16"/>
  <c r="K126" i="16" s="1"/>
  <c r="L125" i="16"/>
  <c r="N125" i="16" s="1"/>
  <c r="I125" i="16"/>
  <c r="I124" i="16"/>
  <c r="K124" i="16" s="1"/>
  <c r="L117" i="16"/>
  <c r="M116" i="16"/>
  <c r="N115" i="16"/>
  <c r="M114" i="16"/>
  <c r="J114" i="16"/>
  <c r="L111" i="16"/>
  <c r="N111" i="16" s="1"/>
  <c r="I111" i="16"/>
  <c r="I101" i="16" s="1"/>
  <c r="K101" i="16" s="1"/>
  <c r="L110" i="16"/>
  <c r="N110" i="16" s="1"/>
  <c r="I110" i="16"/>
  <c r="K110" i="16" s="1"/>
  <c r="L104" i="16"/>
  <c r="M103" i="16"/>
  <c r="N102" i="16"/>
  <c r="M101" i="16"/>
  <c r="J101" i="16"/>
  <c r="L98" i="16"/>
  <c r="N98" i="16" s="1"/>
  <c r="I98" i="16"/>
  <c r="I89" i="16" s="1"/>
  <c r="K89" i="16" s="1"/>
  <c r="L92" i="16"/>
  <c r="M91" i="16"/>
  <c r="N90" i="16"/>
  <c r="M89" i="16"/>
  <c r="J89" i="16"/>
  <c r="J84" i="16"/>
  <c r="I83" i="16"/>
  <c r="K83" i="16" s="1"/>
  <c r="L77" i="16"/>
  <c r="L76" i="16" s="1"/>
  <c r="N76" i="16" s="1"/>
  <c r="M76" i="16"/>
  <c r="N75" i="16"/>
  <c r="M74" i="16"/>
  <c r="J74" i="16"/>
  <c r="M73" i="16"/>
  <c r="L72" i="16"/>
  <c r="N72" i="16" s="1"/>
  <c r="M71" i="16"/>
  <c r="M68" i="16" s="1"/>
  <c r="N70" i="16"/>
  <c r="J68" i="16"/>
  <c r="I62" i="16"/>
  <c r="L56" i="16"/>
  <c r="N56" i="16" s="1"/>
  <c r="L55" i="16"/>
  <c r="M54" i="16"/>
  <c r="N53" i="16"/>
  <c r="M52" i="16"/>
  <c r="J52" i="16"/>
  <c r="I48" i="16"/>
  <c r="K48" i="16" s="1"/>
  <c r="I47" i="16"/>
  <c r="K47" i="16" s="1"/>
  <c r="I46" i="16"/>
  <c r="K46" i="16" s="1"/>
  <c r="I45" i="16"/>
  <c r="K45" i="16" s="1"/>
  <c r="I44" i="16"/>
  <c r="I43" i="16"/>
  <c r="K43" i="16" s="1"/>
  <c r="L37" i="16"/>
  <c r="N37" i="16" s="1"/>
  <c r="L36" i="16"/>
  <c r="N36" i="16" s="1"/>
  <c r="M35" i="16"/>
  <c r="M32" i="16" s="1"/>
  <c r="L35" i="16"/>
  <c r="L32" i="16" s="1"/>
  <c r="N34" i="16"/>
  <c r="J33" i="16"/>
  <c r="J32" i="16"/>
  <c r="I28" i="16"/>
  <c r="K28" i="16" s="1"/>
  <c r="I27" i="16"/>
  <c r="I26" i="16"/>
  <c r="K26" i="16" s="1"/>
  <c r="I25" i="16"/>
  <c r="K25" i="16" s="1"/>
  <c r="I24" i="16"/>
  <c r="K24" i="16" s="1"/>
  <c r="I23" i="16"/>
  <c r="K23" i="16" s="1"/>
  <c r="I22" i="16"/>
  <c r="J21" i="16"/>
  <c r="J20" i="16"/>
  <c r="J9" i="16" s="1"/>
  <c r="L14" i="16"/>
  <c r="N14" i="16" s="1"/>
  <c r="L13" i="16"/>
  <c r="N13" i="16" s="1"/>
  <c r="M12" i="16"/>
  <c r="L12" i="16"/>
  <c r="N12" i="16" s="1"/>
  <c r="N11" i="16"/>
  <c r="J10" i="16"/>
  <c r="M9" i="16"/>
  <c r="J528" i="15"/>
  <c r="I528" i="15"/>
  <c r="J527" i="15"/>
  <c r="I527" i="15"/>
  <c r="J526" i="15"/>
  <c r="I526" i="15"/>
  <c r="K526" i="15" s="1"/>
  <c r="J525" i="15"/>
  <c r="I525" i="15"/>
  <c r="K525" i="15" s="1"/>
  <c r="J524" i="15"/>
  <c r="I524" i="15"/>
  <c r="J523" i="15"/>
  <c r="I523" i="15"/>
  <c r="J522" i="15"/>
  <c r="I522" i="15"/>
  <c r="J521" i="15"/>
  <c r="I521" i="15"/>
  <c r="J517" i="15"/>
  <c r="I517" i="15"/>
  <c r="J514" i="15"/>
  <c r="J513" i="15" s="1"/>
  <c r="I514" i="15"/>
  <c r="I513" i="15"/>
  <c r="K515" i="15" s="1"/>
  <c r="J510" i="15"/>
  <c r="I510" i="15"/>
  <c r="J504" i="15"/>
  <c r="J490" i="15" s="1"/>
  <c r="I504" i="15"/>
  <c r="K506" i="15" s="1"/>
  <c r="M494" i="15"/>
  <c r="L494" i="15"/>
  <c r="N494" i="15" s="1"/>
  <c r="L493" i="15"/>
  <c r="M492" i="15"/>
  <c r="N491" i="15"/>
  <c r="M490" i="15"/>
  <c r="J489" i="15"/>
  <c r="I489" i="15"/>
  <c r="K489" i="15" s="1"/>
  <c r="J488" i="15"/>
  <c r="J473" i="15" s="1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J483" i="15"/>
  <c r="I483" i="15"/>
  <c r="K483" i="15" s="1"/>
  <c r="J482" i="15"/>
  <c r="I482" i="15"/>
  <c r="K482" i="15" s="1"/>
  <c r="M477" i="15"/>
  <c r="M475" i="15" s="1"/>
  <c r="M473" i="15" s="1"/>
  <c r="L477" i="15"/>
  <c r="N477" i="15" s="1"/>
  <c r="L476" i="15"/>
  <c r="N474" i="15"/>
  <c r="K472" i="15"/>
  <c r="K471" i="15"/>
  <c r="K470" i="15"/>
  <c r="K469" i="15"/>
  <c r="K468" i="15"/>
  <c r="J466" i="15"/>
  <c r="I466" i="15"/>
  <c r="M461" i="15"/>
  <c r="M459" i="15" s="1"/>
  <c r="M457" i="15" s="1"/>
  <c r="L461" i="15"/>
  <c r="L460" i="15"/>
  <c r="N460" i="15" s="1"/>
  <c r="N458" i="15"/>
  <c r="J457" i="15"/>
  <c r="I456" i="15"/>
  <c r="K456" i="15" s="1"/>
  <c r="I455" i="15"/>
  <c r="K455" i="15" s="1"/>
  <c r="I454" i="15"/>
  <c r="K454" i="15" s="1"/>
  <c r="I453" i="15"/>
  <c r="K453" i="15" s="1"/>
  <c r="M448" i="15"/>
  <c r="L448" i="15"/>
  <c r="N448" i="15" s="1"/>
  <c r="L447" i="15"/>
  <c r="M446" i="15"/>
  <c r="M444" i="15" s="1"/>
  <c r="N445" i="15"/>
  <c r="J444" i="15"/>
  <c r="I441" i="15"/>
  <c r="K441" i="15" s="1"/>
  <c r="I440" i="15"/>
  <c r="M430" i="15"/>
  <c r="L430" i="15"/>
  <c r="N430" i="15" s="1"/>
  <c r="L429" i="15"/>
  <c r="M428" i="15"/>
  <c r="N427" i="15"/>
  <c r="M426" i="15"/>
  <c r="J426" i="15"/>
  <c r="J417" i="15"/>
  <c r="I419" i="15" s="1"/>
  <c r="J416" i="15"/>
  <c r="I418" i="15" s="1"/>
  <c r="J415" i="15"/>
  <c r="J414" i="15"/>
  <c r="J413" i="15"/>
  <c r="J412" i="15"/>
  <c r="I411" i="15"/>
  <c r="I410" i="15"/>
  <c r="I409" i="15"/>
  <c r="K408" i="15"/>
  <c r="K407" i="15"/>
  <c r="K406" i="15"/>
  <c r="K405" i="15"/>
  <c r="K404" i="15"/>
  <c r="K403" i="15"/>
  <c r="K402" i="15"/>
  <c r="J402" i="15"/>
  <c r="K401" i="15"/>
  <c r="J401" i="15"/>
  <c r="J391" i="15" s="1"/>
  <c r="J390" i="15" s="1"/>
  <c r="K400" i="15"/>
  <c r="K399" i="15"/>
  <c r="K398" i="15"/>
  <c r="K397" i="15"/>
  <c r="K396" i="15"/>
  <c r="K395" i="15"/>
  <c r="K394" i="15"/>
  <c r="J394" i="15"/>
  <c r="K393" i="15"/>
  <c r="J393" i="15"/>
  <c r="J392" i="15"/>
  <c r="I392" i="15"/>
  <c r="I391" i="15"/>
  <c r="K391" i="15" s="1"/>
  <c r="I390" i="15"/>
  <c r="K390" i="15" s="1"/>
  <c r="K389" i="15"/>
  <c r="K388" i="15"/>
  <c r="K387" i="15"/>
  <c r="K386" i="15"/>
  <c r="K385" i="15"/>
  <c r="K384" i="15"/>
  <c r="K383" i="15"/>
  <c r="J383" i="15"/>
  <c r="K382" i="15"/>
  <c r="J382" i="15"/>
  <c r="J376" i="15" s="1"/>
  <c r="K381" i="15"/>
  <c r="K380" i="15"/>
  <c r="K379" i="15"/>
  <c r="K378" i="15"/>
  <c r="J377" i="15"/>
  <c r="K375" i="15"/>
  <c r="K374" i="15"/>
  <c r="K373" i="15"/>
  <c r="K372" i="15"/>
  <c r="K371" i="15"/>
  <c r="K370" i="15"/>
  <c r="J369" i="15"/>
  <c r="J368" i="15"/>
  <c r="K367" i="15"/>
  <c r="K366" i="15"/>
  <c r="K365" i="15"/>
  <c r="K364" i="15"/>
  <c r="K363" i="15"/>
  <c r="K362" i="15"/>
  <c r="J361" i="15"/>
  <c r="I361" i="15"/>
  <c r="I369" i="15" s="1"/>
  <c r="K369" i="15" s="1"/>
  <c r="J360" i="15"/>
  <c r="I360" i="15"/>
  <c r="K360" i="15" s="1"/>
  <c r="J359" i="15"/>
  <c r="I359" i="15"/>
  <c r="I350" i="15" s="1"/>
  <c r="M354" i="15"/>
  <c r="M352" i="15" s="1"/>
  <c r="M350" i="15" s="1"/>
  <c r="L354" i="15"/>
  <c r="L353" i="15"/>
  <c r="N353" i="15" s="1"/>
  <c r="N351" i="15"/>
  <c r="J350" i="15"/>
  <c r="I347" i="15"/>
  <c r="K347" i="15" s="1"/>
  <c r="I346" i="15"/>
  <c r="K346" i="15" s="1"/>
  <c r="I345" i="15"/>
  <c r="K345" i="15" s="1"/>
  <c r="J344" i="15"/>
  <c r="M334" i="15"/>
  <c r="L334" i="15"/>
  <c r="L333" i="15"/>
  <c r="N333" i="15" s="1"/>
  <c r="M332" i="15"/>
  <c r="N331" i="15"/>
  <c r="M330" i="15"/>
  <c r="J330" i="15"/>
  <c r="I327" i="15"/>
  <c r="K327" i="15" s="1"/>
  <c r="I326" i="15"/>
  <c r="I324" i="15"/>
  <c r="K324" i="15" s="1"/>
  <c r="I323" i="15"/>
  <c r="K323" i="15" s="1"/>
  <c r="I322" i="15"/>
  <c r="K322" i="15" s="1"/>
  <c r="I321" i="15"/>
  <c r="I320" i="15"/>
  <c r="K320" i="15" s="1"/>
  <c r="I319" i="15"/>
  <c r="I318" i="15"/>
  <c r="K318" i="15" s="1"/>
  <c r="I317" i="15"/>
  <c r="I316" i="15"/>
  <c r="I315" i="15"/>
  <c r="K315" i="15" s="1"/>
  <c r="I314" i="15"/>
  <c r="K314" i="15" s="1"/>
  <c r="I313" i="15"/>
  <c r="K313" i="15" s="1"/>
  <c r="I312" i="15"/>
  <c r="M301" i="15"/>
  <c r="L301" i="15"/>
  <c r="N301" i="15" s="1"/>
  <c r="L300" i="15"/>
  <c r="M299" i="15"/>
  <c r="M296" i="15" s="1"/>
  <c r="N298" i="15"/>
  <c r="J296" i="15"/>
  <c r="I293" i="15"/>
  <c r="K293" i="15" s="1"/>
  <c r="I292" i="15"/>
  <c r="K292" i="15" s="1"/>
  <c r="I291" i="15"/>
  <c r="M280" i="15"/>
  <c r="L280" i="15"/>
  <c r="N280" i="15" s="1"/>
  <c r="L279" i="15"/>
  <c r="M278" i="15"/>
  <c r="M275" i="15" s="1"/>
  <c r="N277" i="15"/>
  <c r="J276" i="15"/>
  <c r="J275" i="15"/>
  <c r="I272" i="15"/>
  <c r="K272" i="15" s="1"/>
  <c r="I271" i="15"/>
  <c r="K271" i="15" s="1"/>
  <c r="J270" i="15"/>
  <c r="I268" i="15"/>
  <c r="K268" i="15" s="1"/>
  <c r="I266" i="15"/>
  <c r="K266" i="15" s="1"/>
  <c r="I264" i="15"/>
  <c r="K264" i="15" s="1"/>
  <c r="J263" i="15"/>
  <c r="I263" i="15"/>
  <c r="I265" i="15" s="1"/>
  <c r="K265" i="15" s="1"/>
  <c r="J262" i="15"/>
  <c r="I260" i="15"/>
  <c r="K260" i="15" s="1"/>
  <c r="J259" i="15"/>
  <c r="M249" i="15"/>
  <c r="L249" i="15"/>
  <c r="N249" i="15" s="1"/>
  <c r="L248" i="15"/>
  <c r="N248" i="15" s="1"/>
  <c r="M247" i="15"/>
  <c r="M244" i="15" s="1"/>
  <c r="N246" i="15"/>
  <c r="J244" i="15"/>
  <c r="K241" i="15"/>
  <c r="J241" i="15"/>
  <c r="J240" i="15"/>
  <c r="J228" i="15" s="1"/>
  <c r="I240" i="15"/>
  <c r="K239" i="15"/>
  <c r="J239" i="15"/>
  <c r="J238" i="15"/>
  <c r="I238" i="15"/>
  <c r="K237" i="15"/>
  <c r="J237" i="15"/>
  <c r="J236" i="15"/>
  <c r="I236" i="15"/>
  <c r="J235" i="15"/>
  <c r="I235" i="15"/>
  <c r="K234" i="15"/>
  <c r="J234" i="15"/>
  <c r="L232" i="15"/>
  <c r="N232" i="15" s="1"/>
  <c r="L231" i="15"/>
  <c r="M230" i="15"/>
  <c r="N229" i="15"/>
  <c r="M228" i="15"/>
  <c r="I224" i="15"/>
  <c r="I214" i="15" s="1"/>
  <c r="K214" i="15" s="1"/>
  <c r="L218" i="15"/>
  <c r="N218" i="15" s="1"/>
  <c r="N217" i="15"/>
  <c r="M216" i="15"/>
  <c r="N215" i="15"/>
  <c r="M214" i="15"/>
  <c r="J214" i="15"/>
  <c r="I211" i="15"/>
  <c r="K211" i="15" s="1"/>
  <c r="I209" i="15"/>
  <c r="K209" i="15" s="1"/>
  <c r="L203" i="15"/>
  <c r="N202" i="15"/>
  <c r="M201" i="15"/>
  <c r="N200" i="15"/>
  <c r="M199" i="15"/>
  <c r="J199" i="15"/>
  <c r="I195" i="15"/>
  <c r="I185" i="15" s="1"/>
  <c r="K185" i="15" s="1"/>
  <c r="L189" i="15"/>
  <c r="N189" i="15" s="1"/>
  <c r="L188" i="15"/>
  <c r="N188" i="15" s="1"/>
  <c r="M187" i="15"/>
  <c r="N186" i="15"/>
  <c r="M185" i="15"/>
  <c r="J185" i="15"/>
  <c r="I182" i="15"/>
  <c r="K182" i="15" s="1"/>
  <c r="I181" i="15"/>
  <c r="K181" i="15" s="1"/>
  <c r="I180" i="15"/>
  <c r="K180" i="15" s="1"/>
  <c r="I179" i="15"/>
  <c r="K179" i="15" s="1"/>
  <c r="L173" i="15"/>
  <c r="N173" i="15" s="1"/>
  <c r="L172" i="15"/>
  <c r="N172" i="15" s="1"/>
  <c r="M171" i="15"/>
  <c r="M169" i="15" s="1"/>
  <c r="N170" i="15"/>
  <c r="J169" i="15"/>
  <c r="K164" i="15"/>
  <c r="J158" i="15"/>
  <c r="I158" i="15"/>
  <c r="K158" i="15" s="1"/>
  <c r="I155" i="15"/>
  <c r="K155" i="15" s="1"/>
  <c r="J149" i="15"/>
  <c r="J144" i="15" s="1"/>
  <c r="L148" i="15"/>
  <c r="N147" i="15"/>
  <c r="M146" i="15"/>
  <c r="N145" i="15"/>
  <c r="M144" i="15"/>
  <c r="L141" i="15"/>
  <c r="N141" i="15" s="1"/>
  <c r="I141" i="15"/>
  <c r="K141" i="15" s="1"/>
  <c r="L140" i="15"/>
  <c r="N140" i="15" s="1"/>
  <c r="I140" i="15"/>
  <c r="K140" i="15" s="1"/>
  <c r="L138" i="15"/>
  <c r="N138" i="15" s="1"/>
  <c r="I138" i="15"/>
  <c r="K138" i="15" s="1"/>
  <c r="L132" i="15"/>
  <c r="M131" i="15"/>
  <c r="N130" i="15"/>
  <c r="M129" i="15"/>
  <c r="J129" i="15"/>
  <c r="L126" i="15"/>
  <c r="N126" i="15" s="1"/>
  <c r="I126" i="15"/>
  <c r="K126" i="15" s="1"/>
  <c r="L125" i="15"/>
  <c r="N125" i="15" s="1"/>
  <c r="I125" i="15"/>
  <c r="K125" i="15" s="1"/>
  <c r="I124" i="15"/>
  <c r="K124" i="15" s="1"/>
  <c r="L117" i="15"/>
  <c r="N117" i="15" s="1"/>
  <c r="M116" i="15"/>
  <c r="M114" i="15" s="1"/>
  <c r="N115" i="15"/>
  <c r="J114" i="15"/>
  <c r="L111" i="15"/>
  <c r="N111" i="15" s="1"/>
  <c r="I111" i="15"/>
  <c r="K111" i="15" s="1"/>
  <c r="L110" i="15"/>
  <c r="N110" i="15" s="1"/>
  <c r="I110" i="15"/>
  <c r="K110" i="15" s="1"/>
  <c r="L104" i="15"/>
  <c r="N104" i="15" s="1"/>
  <c r="M103" i="15"/>
  <c r="M101" i="15" s="1"/>
  <c r="N102" i="15"/>
  <c r="J101" i="15"/>
  <c r="L98" i="15"/>
  <c r="N98" i="15" s="1"/>
  <c r="I98" i="15"/>
  <c r="K98" i="15" s="1"/>
  <c r="L92" i="15"/>
  <c r="N92" i="15" s="1"/>
  <c r="M91" i="15"/>
  <c r="N90" i="15"/>
  <c r="M89" i="15"/>
  <c r="J89" i="15"/>
  <c r="J84" i="15"/>
  <c r="I83" i="15"/>
  <c r="L77" i="15"/>
  <c r="N77" i="15" s="1"/>
  <c r="M76" i="15"/>
  <c r="M74" i="15" s="1"/>
  <c r="N75" i="15"/>
  <c r="J74" i="15"/>
  <c r="M73" i="15"/>
  <c r="L72" i="15"/>
  <c r="N72" i="15" s="1"/>
  <c r="M71" i="15"/>
  <c r="N70" i="15"/>
  <c r="M68" i="15"/>
  <c r="J68" i="15"/>
  <c r="I62" i="15"/>
  <c r="K62" i="15" s="1"/>
  <c r="L56" i="15"/>
  <c r="N56" i="15" s="1"/>
  <c r="L55" i="15"/>
  <c r="N55" i="15" s="1"/>
  <c r="M54" i="15"/>
  <c r="N53" i="15"/>
  <c r="M52" i="15"/>
  <c r="J52" i="15"/>
  <c r="I48" i="15"/>
  <c r="K48" i="15" s="1"/>
  <c r="I47" i="15"/>
  <c r="K47" i="15" s="1"/>
  <c r="I46" i="15"/>
  <c r="K46" i="15" s="1"/>
  <c r="I45" i="15"/>
  <c r="K45" i="15" s="1"/>
  <c r="I44" i="15"/>
  <c r="K44" i="15" s="1"/>
  <c r="I43" i="15"/>
  <c r="K43" i="15" s="1"/>
  <c r="L37" i="15"/>
  <c r="N37" i="15" s="1"/>
  <c r="L36" i="15"/>
  <c r="N36" i="15" s="1"/>
  <c r="M35" i="15"/>
  <c r="M32" i="15" s="1"/>
  <c r="L35" i="15"/>
  <c r="N34" i="15"/>
  <c r="J33" i="15"/>
  <c r="J32" i="15"/>
  <c r="I28" i="15"/>
  <c r="K28" i="15" s="1"/>
  <c r="I27" i="15"/>
  <c r="K27" i="15" s="1"/>
  <c r="I26" i="15"/>
  <c r="K26" i="15" s="1"/>
  <c r="I25" i="15"/>
  <c r="K25" i="15" s="1"/>
  <c r="I24" i="15"/>
  <c r="K24" i="15" s="1"/>
  <c r="I23" i="15"/>
  <c r="K23" i="15" s="1"/>
  <c r="I22" i="15"/>
  <c r="J21" i="15"/>
  <c r="J20" i="15"/>
  <c r="J9" i="15" s="1"/>
  <c r="L14" i="15"/>
  <c r="N14" i="15" s="1"/>
  <c r="L13" i="15"/>
  <c r="N13" i="15" s="1"/>
  <c r="M12" i="15"/>
  <c r="M9" i="15" s="1"/>
  <c r="L12" i="15"/>
  <c r="N11" i="15"/>
  <c r="J10" i="15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17" i="14"/>
  <c r="I517" i="14"/>
  <c r="J514" i="14"/>
  <c r="J513" i="14" s="1"/>
  <c r="I514" i="14"/>
  <c r="I513" i="14"/>
  <c r="K514" i="14" s="1"/>
  <c r="J510" i="14"/>
  <c r="I510" i="14"/>
  <c r="J504" i="14"/>
  <c r="J490" i="14" s="1"/>
  <c r="I504" i="14"/>
  <c r="K509" i="14" s="1"/>
  <c r="M494" i="14"/>
  <c r="L494" i="14"/>
  <c r="N494" i="14" s="1"/>
  <c r="L493" i="14"/>
  <c r="N493" i="14" s="1"/>
  <c r="M492" i="14"/>
  <c r="N491" i="14"/>
  <c r="M490" i="14"/>
  <c r="J489" i="14"/>
  <c r="I489" i="14"/>
  <c r="K489" i="14" s="1"/>
  <c r="J488" i="14"/>
  <c r="J473" i="14" s="1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J483" i="14"/>
  <c r="I483" i="14"/>
  <c r="K483" i="14" s="1"/>
  <c r="J482" i="14"/>
  <c r="I482" i="14"/>
  <c r="K482" i="14" s="1"/>
  <c r="M477" i="14"/>
  <c r="M475" i="14" s="1"/>
  <c r="M473" i="14" s="1"/>
  <c r="L477" i="14"/>
  <c r="N477" i="14" s="1"/>
  <c r="L476" i="14"/>
  <c r="N474" i="14"/>
  <c r="K472" i="14"/>
  <c r="K471" i="14"/>
  <c r="K470" i="14"/>
  <c r="K469" i="14"/>
  <c r="K468" i="14"/>
  <c r="J466" i="14"/>
  <c r="I466" i="14"/>
  <c r="I457" i="14" s="1"/>
  <c r="M461" i="14"/>
  <c r="L461" i="14"/>
  <c r="N461" i="14" s="1"/>
  <c r="L460" i="14"/>
  <c r="N460" i="14" s="1"/>
  <c r="M459" i="14"/>
  <c r="N458" i="14"/>
  <c r="M457" i="14"/>
  <c r="I456" i="14"/>
  <c r="K456" i="14" s="1"/>
  <c r="I455" i="14"/>
  <c r="K455" i="14" s="1"/>
  <c r="I454" i="14"/>
  <c r="K454" i="14" s="1"/>
  <c r="I453" i="14"/>
  <c r="K453" i="14" s="1"/>
  <c r="M448" i="14"/>
  <c r="L448" i="14"/>
  <c r="N448" i="14" s="1"/>
  <c r="L447" i="14"/>
  <c r="N447" i="14" s="1"/>
  <c r="M446" i="14"/>
  <c r="N445" i="14"/>
  <c r="M444" i="14"/>
  <c r="J444" i="14"/>
  <c r="I441" i="14"/>
  <c r="K441" i="14" s="1"/>
  <c r="I440" i="14"/>
  <c r="M430" i="14"/>
  <c r="L430" i="14"/>
  <c r="N430" i="14" s="1"/>
  <c r="L429" i="14"/>
  <c r="M428" i="14"/>
  <c r="N427" i="14"/>
  <c r="M426" i="14"/>
  <c r="J426" i="14"/>
  <c r="J417" i="14"/>
  <c r="I419" i="14" s="1"/>
  <c r="J416" i="14"/>
  <c r="I418" i="14" s="1"/>
  <c r="J415" i="14"/>
  <c r="J414" i="14"/>
  <c r="J413" i="14"/>
  <c r="J412" i="14"/>
  <c r="I411" i="14"/>
  <c r="I410" i="14"/>
  <c r="I409" i="14"/>
  <c r="K408" i="14"/>
  <c r="K407" i="14"/>
  <c r="K406" i="14"/>
  <c r="K405" i="14"/>
  <c r="K404" i="14"/>
  <c r="K403" i="14"/>
  <c r="K402" i="14"/>
  <c r="J402" i="14"/>
  <c r="K401" i="14"/>
  <c r="J401" i="14"/>
  <c r="J391" i="14" s="1"/>
  <c r="J390" i="14" s="1"/>
  <c r="K400" i="14"/>
  <c r="K399" i="14"/>
  <c r="K398" i="14"/>
  <c r="K397" i="14"/>
  <c r="K396" i="14"/>
  <c r="K395" i="14"/>
  <c r="K394" i="14"/>
  <c r="J394" i="14"/>
  <c r="J392" i="14" s="1"/>
  <c r="K393" i="14"/>
  <c r="J393" i="14"/>
  <c r="I392" i="14"/>
  <c r="K392" i="14" s="1"/>
  <c r="I391" i="14"/>
  <c r="K391" i="14" s="1"/>
  <c r="I390" i="14"/>
  <c r="K389" i="14"/>
  <c r="K388" i="14"/>
  <c r="K387" i="14"/>
  <c r="K386" i="14"/>
  <c r="K385" i="14"/>
  <c r="K384" i="14"/>
  <c r="K383" i="14"/>
  <c r="J383" i="14"/>
  <c r="K382" i="14"/>
  <c r="J382" i="14"/>
  <c r="J376" i="14" s="1"/>
  <c r="K381" i="14"/>
  <c r="K380" i="14"/>
  <c r="K379" i="14"/>
  <c r="K378" i="14"/>
  <c r="J377" i="14"/>
  <c r="K375" i="14"/>
  <c r="K374" i="14"/>
  <c r="K373" i="14"/>
  <c r="K372" i="14"/>
  <c r="K371" i="14"/>
  <c r="K370" i="14"/>
  <c r="J369" i="14"/>
  <c r="J368" i="14"/>
  <c r="K367" i="14"/>
  <c r="K366" i="14"/>
  <c r="K365" i="14"/>
  <c r="K364" i="14"/>
  <c r="K363" i="14"/>
  <c r="K362" i="14"/>
  <c r="J361" i="14"/>
  <c r="I361" i="14"/>
  <c r="I369" i="14" s="1"/>
  <c r="K369" i="14" s="1"/>
  <c r="J360" i="14"/>
  <c r="I360" i="14"/>
  <c r="K360" i="14" s="1"/>
  <c r="I359" i="14"/>
  <c r="I376" i="14" s="1"/>
  <c r="M354" i="14"/>
  <c r="L354" i="14"/>
  <c r="N354" i="14" s="1"/>
  <c r="L353" i="14"/>
  <c r="N353" i="14" s="1"/>
  <c r="M352" i="14"/>
  <c r="M350" i="14" s="1"/>
  <c r="N351" i="14"/>
  <c r="I347" i="14"/>
  <c r="K347" i="14" s="1"/>
  <c r="I346" i="14"/>
  <c r="K346" i="14" s="1"/>
  <c r="I345" i="14"/>
  <c r="K345" i="14" s="1"/>
  <c r="J344" i="14"/>
  <c r="M334" i="14"/>
  <c r="L334" i="14"/>
  <c r="N334" i="14" s="1"/>
  <c r="L333" i="14"/>
  <c r="N333" i="14" s="1"/>
  <c r="M332" i="14"/>
  <c r="M330" i="14" s="1"/>
  <c r="N331" i="14"/>
  <c r="J330" i="14"/>
  <c r="I327" i="14"/>
  <c r="K327" i="14" s="1"/>
  <c r="I326" i="14"/>
  <c r="I324" i="14"/>
  <c r="K324" i="14" s="1"/>
  <c r="I323" i="14"/>
  <c r="K323" i="14" s="1"/>
  <c r="I322" i="14"/>
  <c r="K322" i="14" s="1"/>
  <c r="I321" i="14"/>
  <c r="I320" i="14"/>
  <c r="K320" i="14" s="1"/>
  <c r="I319" i="14"/>
  <c r="I318" i="14"/>
  <c r="K318" i="14" s="1"/>
  <c r="I317" i="14"/>
  <c r="I316" i="14"/>
  <c r="I315" i="14"/>
  <c r="K315" i="14" s="1"/>
  <c r="I314" i="14"/>
  <c r="K314" i="14" s="1"/>
  <c r="I313" i="14"/>
  <c r="K313" i="14" s="1"/>
  <c r="I312" i="14"/>
  <c r="M301" i="14"/>
  <c r="L301" i="14"/>
  <c r="N301" i="14" s="1"/>
  <c r="L300" i="14"/>
  <c r="N300" i="14" s="1"/>
  <c r="M299" i="14"/>
  <c r="M296" i="14" s="1"/>
  <c r="N298" i="14"/>
  <c r="J296" i="14"/>
  <c r="I293" i="14"/>
  <c r="K293" i="14" s="1"/>
  <c r="I292" i="14"/>
  <c r="K292" i="14" s="1"/>
  <c r="I291" i="14"/>
  <c r="K291" i="14" s="1"/>
  <c r="M280" i="14"/>
  <c r="L280" i="14"/>
  <c r="N280" i="14" s="1"/>
  <c r="L279" i="14"/>
  <c r="N279" i="14" s="1"/>
  <c r="M278" i="14"/>
  <c r="M275" i="14" s="1"/>
  <c r="N277" i="14"/>
  <c r="J276" i="14"/>
  <c r="J275" i="14"/>
  <c r="I272" i="14"/>
  <c r="K272" i="14" s="1"/>
  <c r="I271" i="14"/>
  <c r="J270" i="14"/>
  <c r="J244" i="14" s="1"/>
  <c r="I268" i="14"/>
  <c r="K268" i="14" s="1"/>
  <c r="I266" i="14"/>
  <c r="K266" i="14" s="1"/>
  <c r="I264" i="14"/>
  <c r="K264" i="14" s="1"/>
  <c r="J263" i="14"/>
  <c r="J245" i="14" s="1"/>
  <c r="I263" i="14"/>
  <c r="I267" i="14" s="1"/>
  <c r="K267" i="14" s="1"/>
  <c r="J262" i="14"/>
  <c r="I260" i="14"/>
  <c r="K260" i="14" s="1"/>
  <c r="J259" i="14"/>
  <c r="M249" i="14"/>
  <c r="L249" i="14"/>
  <c r="N249" i="14" s="1"/>
  <c r="L248" i="14"/>
  <c r="M247" i="14"/>
  <c r="M244" i="14" s="1"/>
  <c r="N246" i="14"/>
  <c r="K241" i="14"/>
  <c r="J241" i="14"/>
  <c r="J240" i="14"/>
  <c r="I240" i="14"/>
  <c r="K239" i="14"/>
  <c r="J239" i="14"/>
  <c r="J238" i="14"/>
  <c r="I238" i="14"/>
  <c r="K237" i="14"/>
  <c r="J237" i="14"/>
  <c r="J236" i="14"/>
  <c r="I236" i="14"/>
  <c r="J235" i="14"/>
  <c r="I235" i="14"/>
  <c r="K234" i="14"/>
  <c r="J234" i="14"/>
  <c r="L232" i="14"/>
  <c r="N232" i="14" s="1"/>
  <c r="L231" i="14"/>
  <c r="M230" i="14"/>
  <c r="N229" i="14"/>
  <c r="M228" i="14"/>
  <c r="I224" i="14"/>
  <c r="I214" i="14" s="1"/>
  <c r="K214" i="14" s="1"/>
  <c r="L218" i="14"/>
  <c r="N218" i="14" s="1"/>
  <c r="N217" i="14"/>
  <c r="M216" i="14"/>
  <c r="N215" i="14"/>
  <c r="M214" i="14"/>
  <c r="J214" i="14"/>
  <c r="I211" i="14"/>
  <c r="K211" i="14" s="1"/>
  <c r="I209" i="14"/>
  <c r="K209" i="14" s="1"/>
  <c r="L203" i="14"/>
  <c r="N203" i="14" s="1"/>
  <c r="N202" i="14"/>
  <c r="M201" i="14"/>
  <c r="N200" i="14"/>
  <c r="M199" i="14"/>
  <c r="J199" i="14"/>
  <c r="I195" i="14"/>
  <c r="I185" i="14" s="1"/>
  <c r="K185" i="14" s="1"/>
  <c r="L189" i="14"/>
  <c r="N189" i="14" s="1"/>
  <c r="L188" i="14"/>
  <c r="M187" i="14"/>
  <c r="N186" i="14"/>
  <c r="M185" i="14"/>
  <c r="J185" i="14"/>
  <c r="I182" i="14"/>
  <c r="K182" i="14" s="1"/>
  <c r="I181" i="14"/>
  <c r="K181" i="14" s="1"/>
  <c r="I180" i="14"/>
  <c r="I179" i="14"/>
  <c r="K179" i="14" s="1"/>
  <c r="L173" i="14"/>
  <c r="N173" i="14" s="1"/>
  <c r="L172" i="14"/>
  <c r="N172" i="14" s="1"/>
  <c r="M171" i="14"/>
  <c r="N170" i="14"/>
  <c r="M169" i="14"/>
  <c r="J169" i="14"/>
  <c r="K164" i="14"/>
  <c r="J158" i="14"/>
  <c r="I158" i="14"/>
  <c r="K158" i="14" s="1"/>
  <c r="I155" i="14"/>
  <c r="J149" i="14"/>
  <c r="J144" i="14" s="1"/>
  <c r="L148" i="14"/>
  <c r="N148" i="14" s="1"/>
  <c r="N147" i="14"/>
  <c r="M146" i="14"/>
  <c r="M144" i="14" s="1"/>
  <c r="N145" i="14"/>
  <c r="L141" i="14"/>
  <c r="N141" i="14" s="1"/>
  <c r="I141" i="14"/>
  <c r="K141" i="14" s="1"/>
  <c r="L140" i="14"/>
  <c r="N140" i="14" s="1"/>
  <c r="I140" i="14"/>
  <c r="K140" i="14" s="1"/>
  <c r="L138" i="14"/>
  <c r="N138" i="14" s="1"/>
  <c r="I138" i="14"/>
  <c r="K138" i="14" s="1"/>
  <c r="L132" i="14"/>
  <c r="M131" i="14"/>
  <c r="N130" i="14"/>
  <c r="M129" i="14"/>
  <c r="J129" i="14"/>
  <c r="L126" i="14"/>
  <c r="N126" i="14" s="1"/>
  <c r="I126" i="14"/>
  <c r="K126" i="14" s="1"/>
  <c r="L125" i="14"/>
  <c r="N125" i="14" s="1"/>
  <c r="I125" i="14"/>
  <c r="I124" i="14"/>
  <c r="K124" i="14" s="1"/>
  <c r="L117" i="14"/>
  <c r="M116" i="14"/>
  <c r="M114" i="14" s="1"/>
  <c r="N115" i="14"/>
  <c r="J114" i="14"/>
  <c r="L111" i="14"/>
  <c r="N111" i="14" s="1"/>
  <c r="I111" i="14"/>
  <c r="K111" i="14" s="1"/>
  <c r="L110" i="14"/>
  <c r="N110" i="14" s="1"/>
  <c r="I110" i="14"/>
  <c r="K110" i="14" s="1"/>
  <c r="L104" i="14"/>
  <c r="M103" i="14"/>
  <c r="N102" i="14"/>
  <c r="M101" i="14"/>
  <c r="J101" i="14"/>
  <c r="L98" i="14"/>
  <c r="N98" i="14" s="1"/>
  <c r="I98" i="14"/>
  <c r="K98" i="14" s="1"/>
  <c r="L92" i="14"/>
  <c r="M91" i="14"/>
  <c r="N90" i="14"/>
  <c r="M89" i="14"/>
  <c r="J89" i="14"/>
  <c r="J84" i="14"/>
  <c r="I83" i="14"/>
  <c r="K83" i="14" s="1"/>
  <c r="L77" i="14"/>
  <c r="N77" i="14" s="1"/>
  <c r="M76" i="14"/>
  <c r="N75" i="14"/>
  <c r="M74" i="14"/>
  <c r="J74" i="14"/>
  <c r="M73" i="14"/>
  <c r="L72" i="14"/>
  <c r="N72" i="14" s="1"/>
  <c r="M71" i="14"/>
  <c r="M68" i="14" s="1"/>
  <c r="N70" i="14"/>
  <c r="J68" i="14"/>
  <c r="I62" i="14"/>
  <c r="K62" i="14" s="1"/>
  <c r="L56" i="14"/>
  <c r="N56" i="14" s="1"/>
  <c r="L55" i="14"/>
  <c r="M54" i="14"/>
  <c r="M52" i="14" s="1"/>
  <c r="N53" i="14"/>
  <c r="J52" i="14"/>
  <c r="I48" i="14"/>
  <c r="K48" i="14" s="1"/>
  <c r="I47" i="14"/>
  <c r="K47" i="14" s="1"/>
  <c r="I46" i="14"/>
  <c r="K46" i="14" s="1"/>
  <c r="I45" i="14"/>
  <c r="K45" i="14" s="1"/>
  <c r="I44" i="14"/>
  <c r="I43" i="14"/>
  <c r="K43" i="14" s="1"/>
  <c r="L37" i="14"/>
  <c r="N37" i="14" s="1"/>
  <c r="L36" i="14"/>
  <c r="N36" i="14" s="1"/>
  <c r="M35" i="14"/>
  <c r="M32" i="14" s="1"/>
  <c r="L35" i="14"/>
  <c r="N35" i="14" s="1"/>
  <c r="N34" i="14"/>
  <c r="J33" i="14"/>
  <c r="J32" i="14"/>
  <c r="I28" i="14"/>
  <c r="K28" i="14" s="1"/>
  <c r="I27" i="14"/>
  <c r="K27" i="14" s="1"/>
  <c r="I26" i="14"/>
  <c r="K26" i="14" s="1"/>
  <c r="I25" i="14"/>
  <c r="K25" i="14" s="1"/>
  <c r="I24" i="14"/>
  <c r="K24" i="14" s="1"/>
  <c r="I23" i="14"/>
  <c r="K23" i="14" s="1"/>
  <c r="I22" i="14"/>
  <c r="J21" i="14"/>
  <c r="J20" i="14"/>
  <c r="J9" i="14" s="1"/>
  <c r="L14" i="14"/>
  <c r="N14" i="14" s="1"/>
  <c r="L13" i="14"/>
  <c r="N13" i="14" s="1"/>
  <c r="M12" i="14"/>
  <c r="L12" i="14"/>
  <c r="N11" i="14"/>
  <c r="J10" i="14"/>
  <c r="M9" i="14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17" i="13"/>
  <c r="I517" i="13"/>
  <c r="J514" i="13"/>
  <c r="J513" i="13" s="1"/>
  <c r="I514" i="13"/>
  <c r="I513" i="13"/>
  <c r="K514" i="13" s="1"/>
  <c r="J510" i="13"/>
  <c r="I510" i="13"/>
  <c r="J504" i="13"/>
  <c r="J490" i="13" s="1"/>
  <c r="I504" i="13"/>
  <c r="M494" i="13"/>
  <c r="L494" i="13"/>
  <c r="N494" i="13" s="1"/>
  <c r="L493" i="13"/>
  <c r="M492" i="13"/>
  <c r="N491" i="13"/>
  <c r="M490" i="13"/>
  <c r="J489" i="13"/>
  <c r="I489" i="13"/>
  <c r="K489" i="13" s="1"/>
  <c r="J488" i="13"/>
  <c r="J473" i="13" s="1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J483" i="13"/>
  <c r="I483" i="13"/>
  <c r="K483" i="13" s="1"/>
  <c r="J482" i="13"/>
  <c r="I482" i="13"/>
  <c r="K482" i="13" s="1"/>
  <c r="M477" i="13"/>
  <c r="M475" i="13" s="1"/>
  <c r="M473" i="13" s="1"/>
  <c r="L477" i="13"/>
  <c r="N477" i="13" s="1"/>
  <c r="L476" i="13"/>
  <c r="N474" i="13"/>
  <c r="K472" i="13"/>
  <c r="K471" i="13"/>
  <c r="K470" i="13"/>
  <c r="K469" i="13"/>
  <c r="K468" i="13"/>
  <c r="J466" i="13"/>
  <c r="I466" i="13"/>
  <c r="K466" i="13" s="1"/>
  <c r="M461" i="13"/>
  <c r="M459" i="13" s="1"/>
  <c r="M457" i="13" s="1"/>
  <c r="L461" i="13"/>
  <c r="L460" i="13"/>
  <c r="N460" i="13" s="1"/>
  <c r="N458" i="13"/>
  <c r="J457" i="13"/>
  <c r="I456" i="13"/>
  <c r="K456" i="13" s="1"/>
  <c r="I455" i="13"/>
  <c r="I454" i="13"/>
  <c r="K454" i="13" s="1"/>
  <c r="I453" i="13"/>
  <c r="K453" i="13" s="1"/>
  <c r="M448" i="13"/>
  <c r="L448" i="13"/>
  <c r="N448" i="13" s="1"/>
  <c r="L447" i="13"/>
  <c r="M446" i="13"/>
  <c r="M444" i="13" s="1"/>
  <c r="N445" i="13"/>
  <c r="J444" i="13"/>
  <c r="I441" i="13"/>
  <c r="K441" i="13" s="1"/>
  <c r="I440" i="13"/>
  <c r="M430" i="13"/>
  <c r="L430" i="13"/>
  <c r="N430" i="13" s="1"/>
  <c r="L429" i="13"/>
  <c r="M428" i="13"/>
  <c r="N427" i="13"/>
  <c r="M426" i="13"/>
  <c r="J426" i="13"/>
  <c r="J417" i="13"/>
  <c r="I419" i="13" s="1"/>
  <c r="J416" i="13"/>
  <c r="I418" i="13" s="1"/>
  <c r="J415" i="13"/>
  <c r="J414" i="13"/>
  <c r="J413" i="13"/>
  <c r="J412" i="13"/>
  <c r="I411" i="13"/>
  <c r="I410" i="13"/>
  <c r="I409" i="13"/>
  <c r="K408" i="13"/>
  <c r="K407" i="13"/>
  <c r="K406" i="13"/>
  <c r="K405" i="13"/>
  <c r="K404" i="13"/>
  <c r="K403" i="13"/>
  <c r="K402" i="13"/>
  <c r="J402" i="13"/>
  <c r="K401" i="13"/>
  <c r="J401" i="13"/>
  <c r="J391" i="13" s="1"/>
  <c r="J390" i="13" s="1"/>
  <c r="K400" i="13"/>
  <c r="K399" i="13"/>
  <c r="K398" i="13"/>
  <c r="K397" i="13"/>
  <c r="K396" i="13"/>
  <c r="K395" i="13"/>
  <c r="K394" i="13"/>
  <c r="J394" i="13"/>
  <c r="K393" i="13"/>
  <c r="J393" i="13"/>
  <c r="J392" i="13"/>
  <c r="I392" i="13"/>
  <c r="K392" i="13" s="1"/>
  <c r="I391" i="13"/>
  <c r="K391" i="13" s="1"/>
  <c r="I390" i="13"/>
  <c r="K390" i="13" s="1"/>
  <c r="K389" i="13"/>
  <c r="K388" i="13"/>
  <c r="K387" i="13"/>
  <c r="K386" i="13"/>
  <c r="K385" i="13"/>
  <c r="K384" i="13"/>
  <c r="K383" i="13"/>
  <c r="J383" i="13"/>
  <c r="K382" i="13"/>
  <c r="J382" i="13"/>
  <c r="J376" i="13" s="1"/>
  <c r="K381" i="13"/>
  <c r="K380" i="13"/>
  <c r="K379" i="13"/>
  <c r="K378" i="13"/>
  <c r="J377" i="13"/>
  <c r="K375" i="13"/>
  <c r="K374" i="13"/>
  <c r="K373" i="13"/>
  <c r="K372" i="13"/>
  <c r="K371" i="13"/>
  <c r="K370" i="13"/>
  <c r="J369" i="13"/>
  <c r="J368" i="13"/>
  <c r="K367" i="13"/>
  <c r="K366" i="13"/>
  <c r="K365" i="13"/>
  <c r="K364" i="13"/>
  <c r="K363" i="13"/>
  <c r="K362" i="13"/>
  <c r="J361" i="13"/>
  <c r="I361" i="13"/>
  <c r="K361" i="13" s="1"/>
  <c r="J360" i="13"/>
  <c r="I360" i="13"/>
  <c r="K360" i="13" s="1"/>
  <c r="J359" i="13"/>
  <c r="I359" i="13"/>
  <c r="I368" i="13" s="1"/>
  <c r="K368" i="13" s="1"/>
  <c r="M354" i="13"/>
  <c r="L354" i="13"/>
  <c r="L353" i="13"/>
  <c r="N353" i="13" s="1"/>
  <c r="M352" i="13"/>
  <c r="M350" i="13" s="1"/>
  <c r="N351" i="13"/>
  <c r="J350" i="13"/>
  <c r="I347" i="13"/>
  <c r="K347" i="13" s="1"/>
  <c r="I346" i="13"/>
  <c r="K346" i="13" s="1"/>
  <c r="I345" i="13"/>
  <c r="K345" i="13" s="1"/>
  <c r="J344" i="13"/>
  <c r="M334" i="13"/>
  <c r="L334" i="13"/>
  <c r="L333" i="13"/>
  <c r="N333" i="13" s="1"/>
  <c r="M332" i="13"/>
  <c r="N331" i="13"/>
  <c r="M330" i="13"/>
  <c r="J330" i="13"/>
  <c r="I327" i="13"/>
  <c r="K327" i="13" s="1"/>
  <c r="I326" i="13"/>
  <c r="I324" i="13"/>
  <c r="K324" i="13" s="1"/>
  <c r="I323" i="13"/>
  <c r="K323" i="13" s="1"/>
  <c r="I322" i="13"/>
  <c r="K322" i="13" s="1"/>
  <c r="I321" i="13"/>
  <c r="I320" i="13"/>
  <c r="K320" i="13" s="1"/>
  <c r="I319" i="13"/>
  <c r="I318" i="13"/>
  <c r="K318" i="13" s="1"/>
  <c r="I317" i="13"/>
  <c r="I316" i="13"/>
  <c r="I315" i="13"/>
  <c r="K315" i="13" s="1"/>
  <c r="I314" i="13"/>
  <c r="K314" i="13" s="1"/>
  <c r="I313" i="13"/>
  <c r="K313" i="13" s="1"/>
  <c r="I312" i="13"/>
  <c r="K312" i="13" s="1"/>
  <c r="M301" i="13"/>
  <c r="L301" i="13"/>
  <c r="N301" i="13" s="1"/>
  <c r="L300" i="13"/>
  <c r="M299" i="13"/>
  <c r="M296" i="13" s="1"/>
  <c r="N298" i="13"/>
  <c r="J296" i="13"/>
  <c r="I293" i="13"/>
  <c r="K293" i="13" s="1"/>
  <c r="I292" i="13"/>
  <c r="K292" i="13" s="1"/>
  <c r="I291" i="13"/>
  <c r="M280" i="13"/>
  <c r="L280" i="13"/>
  <c r="N280" i="13" s="1"/>
  <c r="L279" i="13"/>
  <c r="M278" i="13"/>
  <c r="M275" i="13" s="1"/>
  <c r="N277" i="13"/>
  <c r="J276" i="13"/>
  <c r="J275" i="13"/>
  <c r="I272" i="13"/>
  <c r="K272" i="13" s="1"/>
  <c r="I271" i="13"/>
  <c r="K271" i="13" s="1"/>
  <c r="J270" i="13"/>
  <c r="I268" i="13"/>
  <c r="K268" i="13" s="1"/>
  <c r="I266" i="13"/>
  <c r="K266" i="13" s="1"/>
  <c r="I264" i="13"/>
  <c r="K264" i="13" s="1"/>
  <c r="J263" i="13"/>
  <c r="J245" i="13" s="1"/>
  <c r="I263" i="13"/>
  <c r="I265" i="13" s="1"/>
  <c r="K265" i="13" s="1"/>
  <c r="J262" i="13"/>
  <c r="I260" i="13"/>
  <c r="K260" i="13" s="1"/>
  <c r="J259" i="13"/>
  <c r="M249" i="13"/>
  <c r="L249" i="13"/>
  <c r="N249" i="13" s="1"/>
  <c r="L248" i="13"/>
  <c r="N248" i="13" s="1"/>
  <c r="M247" i="13"/>
  <c r="M244" i="13" s="1"/>
  <c r="N246" i="13"/>
  <c r="J244" i="13"/>
  <c r="K241" i="13"/>
  <c r="J241" i="13"/>
  <c r="J240" i="13"/>
  <c r="J228" i="13" s="1"/>
  <c r="I240" i="13"/>
  <c r="K240" i="13" s="1"/>
  <c r="K239" i="13"/>
  <c r="J239" i="13"/>
  <c r="J238" i="13"/>
  <c r="I238" i="13"/>
  <c r="K238" i="13" s="1"/>
  <c r="K237" i="13"/>
  <c r="J237" i="13"/>
  <c r="J236" i="13"/>
  <c r="I236" i="13"/>
  <c r="J235" i="13"/>
  <c r="I235" i="13"/>
  <c r="K235" i="13" s="1"/>
  <c r="K234" i="13"/>
  <c r="J234" i="13"/>
  <c r="L232" i="13"/>
  <c r="N232" i="13" s="1"/>
  <c r="L231" i="13"/>
  <c r="N231" i="13" s="1"/>
  <c r="M230" i="13"/>
  <c r="N229" i="13"/>
  <c r="M228" i="13"/>
  <c r="I224" i="13"/>
  <c r="I214" i="13" s="1"/>
  <c r="K214" i="13" s="1"/>
  <c r="L218" i="13"/>
  <c r="N218" i="13" s="1"/>
  <c r="N217" i="13"/>
  <c r="M216" i="13"/>
  <c r="N215" i="13"/>
  <c r="M214" i="13"/>
  <c r="J214" i="13"/>
  <c r="I211" i="13"/>
  <c r="K211" i="13" s="1"/>
  <c r="I209" i="13"/>
  <c r="K209" i="13" s="1"/>
  <c r="L203" i="13"/>
  <c r="N202" i="13"/>
  <c r="M201" i="13"/>
  <c r="N200" i="13"/>
  <c r="M199" i="13"/>
  <c r="J199" i="13"/>
  <c r="I195" i="13"/>
  <c r="I185" i="13" s="1"/>
  <c r="K185" i="13" s="1"/>
  <c r="L189" i="13"/>
  <c r="N189" i="13" s="1"/>
  <c r="L188" i="13"/>
  <c r="M187" i="13"/>
  <c r="N186" i="13"/>
  <c r="M185" i="13"/>
  <c r="J185" i="13"/>
  <c r="I182" i="13"/>
  <c r="K182" i="13" s="1"/>
  <c r="I181" i="13"/>
  <c r="K181" i="13" s="1"/>
  <c r="I180" i="13"/>
  <c r="K180" i="13" s="1"/>
  <c r="I179" i="13"/>
  <c r="K179" i="13" s="1"/>
  <c r="L173" i="13"/>
  <c r="N173" i="13" s="1"/>
  <c r="L172" i="13"/>
  <c r="N172" i="13" s="1"/>
  <c r="M171" i="13"/>
  <c r="M169" i="13" s="1"/>
  <c r="N170" i="13"/>
  <c r="J169" i="13"/>
  <c r="K164" i="13"/>
  <c r="J158" i="13"/>
  <c r="I158" i="13"/>
  <c r="K158" i="13" s="1"/>
  <c r="I155" i="13"/>
  <c r="K155" i="13" s="1"/>
  <c r="J149" i="13"/>
  <c r="J144" i="13" s="1"/>
  <c r="L148" i="13"/>
  <c r="N147" i="13"/>
  <c r="M146" i="13"/>
  <c r="N145" i="13"/>
  <c r="M144" i="13"/>
  <c r="L141" i="13"/>
  <c r="N141" i="13" s="1"/>
  <c r="I141" i="13"/>
  <c r="K141" i="13" s="1"/>
  <c r="L140" i="13"/>
  <c r="N140" i="13" s="1"/>
  <c r="I140" i="13"/>
  <c r="K140" i="13" s="1"/>
  <c r="L138" i="13"/>
  <c r="N138" i="13" s="1"/>
  <c r="I138" i="13"/>
  <c r="K138" i="13" s="1"/>
  <c r="L132" i="13"/>
  <c r="L131" i="13" s="1"/>
  <c r="M131" i="13"/>
  <c r="N130" i="13"/>
  <c r="M129" i="13"/>
  <c r="J129" i="13"/>
  <c r="L126" i="13"/>
  <c r="N126" i="13" s="1"/>
  <c r="I126" i="13"/>
  <c r="K126" i="13" s="1"/>
  <c r="L125" i="13"/>
  <c r="N125" i="13" s="1"/>
  <c r="I125" i="13"/>
  <c r="I124" i="13"/>
  <c r="K124" i="13" s="1"/>
  <c r="L117" i="13"/>
  <c r="N117" i="13" s="1"/>
  <c r="M116" i="13"/>
  <c r="N115" i="13"/>
  <c r="M114" i="13"/>
  <c r="J114" i="13"/>
  <c r="L111" i="13"/>
  <c r="N111" i="13" s="1"/>
  <c r="I111" i="13"/>
  <c r="K111" i="13" s="1"/>
  <c r="L110" i="13"/>
  <c r="N110" i="13" s="1"/>
  <c r="I110" i="13"/>
  <c r="K110" i="13" s="1"/>
  <c r="L104" i="13"/>
  <c r="N104" i="13" s="1"/>
  <c r="M103" i="13"/>
  <c r="N102" i="13"/>
  <c r="M101" i="13"/>
  <c r="J101" i="13"/>
  <c r="L98" i="13"/>
  <c r="N98" i="13" s="1"/>
  <c r="I98" i="13"/>
  <c r="K98" i="13" s="1"/>
  <c r="L92" i="13"/>
  <c r="N92" i="13" s="1"/>
  <c r="M91" i="13"/>
  <c r="N90" i="13"/>
  <c r="M89" i="13"/>
  <c r="J89" i="13"/>
  <c r="J84" i="13"/>
  <c r="I83" i="13"/>
  <c r="L77" i="13"/>
  <c r="M76" i="13"/>
  <c r="M74" i="13" s="1"/>
  <c r="N75" i="13"/>
  <c r="J74" i="13"/>
  <c r="M73" i="13"/>
  <c r="L72" i="13"/>
  <c r="N72" i="13" s="1"/>
  <c r="M71" i="13"/>
  <c r="N70" i="13"/>
  <c r="M68" i="13"/>
  <c r="J68" i="13"/>
  <c r="I62" i="13"/>
  <c r="K62" i="13" s="1"/>
  <c r="L56" i="13"/>
  <c r="N56" i="13" s="1"/>
  <c r="L55" i="13"/>
  <c r="N55" i="13" s="1"/>
  <c r="M54" i="13"/>
  <c r="N53" i="13"/>
  <c r="M52" i="13"/>
  <c r="J52" i="13"/>
  <c r="I48" i="13"/>
  <c r="I47" i="13"/>
  <c r="K47" i="13" s="1"/>
  <c r="I46" i="13"/>
  <c r="K46" i="13" s="1"/>
  <c r="I45" i="13"/>
  <c r="K45" i="13" s="1"/>
  <c r="I44" i="13"/>
  <c r="K44" i="13" s="1"/>
  <c r="I43" i="13"/>
  <c r="K43" i="13" s="1"/>
  <c r="L37" i="13"/>
  <c r="N37" i="13" s="1"/>
  <c r="L36" i="13"/>
  <c r="N36" i="13" s="1"/>
  <c r="M35" i="13"/>
  <c r="M32" i="13" s="1"/>
  <c r="L35" i="13"/>
  <c r="N34" i="13"/>
  <c r="J33" i="13"/>
  <c r="J32" i="13"/>
  <c r="I28" i="13"/>
  <c r="K28" i="13" s="1"/>
  <c r="I27" i="13"/>
  <c r="K27" i="13" s="1"/>
  <c r="I26" i="13"/>
  <c r="K26" i="13" s="1"/>
  <c r="I25" i="13"/>
  <c r="K25" i="13" s="1"/>
  <c r="I24" i="13"/>
  <c r="K24" i="13" s="1"/>
  <c r="I23" i="13"/>
  <c r="K23" i="13" s="1"/>
  <c r="I22" i="13"/>
  <c r="J21" i="13"/>
  <c r="J20" i="13"/>
  <c r="J9" i="13" s="1"/>
  <c r="L14" i="13"/>
  <c r="N14" i="13" s="1"/>
  <c r="L13" i="13"/>
  <c r="N13" i="13" s="1"/>
  <c r="M12" i="13"/>
  <c r="M9" i="13" s="1"/>
  <c r="L12" i="13"/>
  <c r="N11" i="13"/>
  <c r="J10" i="13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17" i="12"/>
  <c r="I517" i="12"/>
  <c r="J514" i="12"/>
  <c r="J513" i="12" s="1"/>
  <c r="I514" i="12"/>
  <c r="I513" i="12"/>
  <c r="K514" i="12" s="1"/>
  <c r="J510" i="12"/>
  <c r="I510" i="12"/>
  <c r="J504" i="12"/>
  <c r="J490" i="12" s="1"/>
  <c r="I504" i="12"/>
  <c r="K509" i="12" s="1"/>
  <c r="M494" i="12"/>
  <c r="L494" i="12"/>
  <c r="N494" i="12" s="1"/>
  <c r="L493" i="12"/>
  <c r="M492" i="12"/>
  <c r="N491" i="12"/>
  <c r="M490" i="12"/>
  <c r="J489" i="12"/>
  <c r="I489" i="12"/>
  <c r="K489" i="12" s="1"/>
  <c r="J488" i="12"/>
  <c r="J473" i="12" s="1"/>
  <c r="I488" i="12"/>
  <c r="J487" i="12"/>
  <c r="I487" i="12"/>
  <c r="K487" i="12" s="1"/>
  <c r="J486" i="12"/>
  <c r="I486" i="12"/>
  <c r="J485" i="12"/>
  <c r="I485" i="12"/>
  <c r="K485" i="12" s="1"/>
  <c r="J484" i="12"/>
  <c r="I484" i="12"/>
  <c r="J483" i="12"/>
  <c r="I483" i="12"/>
  <c r="K483" i="12" s="1"/>
  <c r="J482" i="12"/>
  <c r="I482" i="12"/>
  <c r="M477" i="12"/>
  <c r="M475" i="12" s="1"/>
  <c r="M473" i="12" s="1"/>
  <c r="L477" i="12"/>
  <c r="N477" i="12" s="1"/>
  <c r="L476" i="12"/>
  <c r="N474" i="12"/>
  <c r="K472" i="12"/>
  <c r="K471" i="12"/>
  <c r="K470" i="12"/>
  <c r="K469" i="12"/>
  <c r="K468" i="12"/>
  <c r="J466" i="12"/>
  <c r="I466" i="12"/>
  <c r="I457" i="12" s="1"/>
  <c r="M461" i="12"/>
  <c r="L461" i="12"/>
  <c r="L460" i="12"/>
  <c r="N460" i="12" s="1"/>
  <c r="M459" i="12"/>
  <c r="N458" i="12"/>
  <c r="M457" i="12"/>
  <c r="I456" i="12"/>
  <c r="K456" i="12" s="1"/>
  <c r="I455" i="12"/>
  <c r="K455" i="12" s="1"/>
  <c r="I454" i="12"/>
  <c r="K454" i="12" s="1"/>
  <c r="I453" i="12"/>
  <c r="M448" i="12"/>
  <c r="L448" i="12"/>
  <c r="N448" i="12" s="1"/>
  <c r="L447" i="12"/>
  <c r="M446" i="12"/>
  <c r="N445" i="12"/>
  <c r="M444" i="12"/>
  <c r="J444" i="12"/>
  <c r="I441" i="12"/>
  <c r="K441" i="12" s="1"/>
  <c r="I440" i="12"/>
  <c r="M430" i="12"/>
  <c r="L430" i="12"/>
  <c r="N430" i="12" s="1"/>
  <c r="L429" i="12"/>
  <c r="M428" i="12"/>
  <c r="N427" i="12"/>
  <c r="M426" i="12"/>
  <c r="J426" i="12"/>
  <c r="J417" i="12"/>
  <c r="I419" i="12" s="1"/>
  <c r="J416" i="12"/>
  <c r="I418" i="12" s="1"/>
  <c r="J415" i="12"/>
  <c r="J414" i="12"/>
  <c r="J413" i="12"/>
  <c r="J412" i="12"/>
  <c r="I411" i="12"/>
  <c r="I410" i="12"/>
  <c r="I409" i="12"/>
  <c r="K408" i="12"/>
  <c r="K407" i="12"/>
  <c r="K406" i="12"/>
  <c r="K405" i="12"/>
  <c r="K404" i="12"/>
  <c r="K403" i="12"/>
  <c r="K402" i="12"/>
  <c r="J402" i="12"/>
  <c r="K401" i="12"/>
  <c r="J401" i="12"/>
  <c r="J391" i="12" s="1"/>
  <c r="J390" i="12" s="1"/>
  <c r="K400" i="12"/>
  <c r="K399" i="12"/>
  <c r="K398" i="12"/>
  <c r="K397" i="12"/>
  <c r="K396" i="12"/>
  <c r="K395" i="12"/>
  <c r="K394" i="12"/>
  <c r="J394" i="12"/>
  <c r="J392" i="12" s="1"/>
  <c r="K393" i="12"/>
  <c r="J393" i="12"/>
  <c r="I392" i="12"/>
  <c r="I391" i="12"/>
  <c r="K391" i="12" s="1"/>
  <c r="I390" i="12"/>
  <c r="K389" i="12"/>
  <c r="K388" i="12"/>
  <c r="K387" i="12"/>
  <c r="K386" i="12"/>
  <c r="K385" i="12"/>
  <c r="K384" i="12"/>
  <c r="K383" i="12"/>
  <c r="J383" i="12"/>
  <c r="K382" i="12"/>
  <c r="J382" i="12"/>
  <c r="J376" i="12" s="1"/>
  <c r="K381" i="12"/>
  <c r="K380" i="12"/>
  <c r="K379" i="12"/>
  <c r="K378" i="12"/>
  <c r="J377" i="12"/>
  <c r="K375" i="12"/>
  <c r="K374" i="12"/>
  <c r="K373" i="12"/>
  <c r="K372" i="12"/>
  <c r="K371" i="12"/>
  <c r="K370" i="12"/>
  <c r="J369" i="12"/>
  <c r="J368" i="12"/>
  <c r="K367" i="12"/>
  <c r="K366" i="12"/>
  <c r="K365" i="12"/>
  <c r="K364" i="12"/>
  <c r="K363" i="12"/>
  <c r="K362" i="12"/>
  <c r="J361" i="12"/>
  <c r="I361" i="12"/>
  <c r="I369" i="12" s="1"/>
  <c r="K369" i="12" s="1"/>
  <c r="J360" i="12"/>
  <c r="I360" i="12"/>
  <c r="K360" i="12" s="1"/>
  <c r="I359" i="12"/>
  <c r="M354" i="12"/>
  <c r="L354" i="12"/>
  <c r="N354" i="12" s="1"/>
  <c r="L353" i="12"/>
  <c r="N353" i="12" s="1"/>
  <c r="M352" i="12"/>
  <c r="N351" i="12"/>
  <c r="M350" i="12"/>
  <c r="I347" i="12"/>
  <c r="K347" i="12" s="1"/>
  <c r="I346" i="12"/>
  <c r="K346" i="12" s="1"/>
  <c r="I345" i="12"/>
  <c r="K345" i="12" s="1"/>
  <c r="J344" i="12"/>
  <c r="M334" i="12"/>
  <c r="L334" i="12"/>
  <c r="N334" i="12" s="1"/>
  <c r="L333" i="12"/>
  <c r="N333" i="12" s="1"/>
  <c r="M332" i="12"/>
  <c r="N331" i="12"/>
  <c r="M330" i="12"/>
  <c r="J330" i="12"/>
  <c r="I327" i="12"/>
  <c r="K327" i="12" s="1"/>
  <c r="I326" i="12"/>
  <c r="I324" i="12"/>
  <c r="K324" i="12" s="1"/>
  <c r="I323" i="12"/>
  <c r="K323" i="12" s="1"/>
  <c r="I322" i="12"/>
  <c r="K322" i="12" s="1"/>
  <c r="I321" i="12"/>
  <c r="I320" i="12"/>
  <c r="K320" i="12" s="1"/>
  <c r="I319" i="12"/>
  <c r="I318" i="12"/>
  <c r="K318" i="12" s="1"/>
  <c r="I317" i="12"/>
  <c r="K317" i="12" s="1"/>
  <c r="I316" i="12"/>
  <c r="I315" i="12"/>
  <c r="K315" i="12" s="1"/>
  <c r="I314" i="12"/>
  <c r="K314" i="12" s="1"/>
  <c r="I313" i="12"/>
  <c r="K313" i="12" s="1"/>
  <c r="I312" i="12"/>
  <c r="M301" i="12"/>
  <c r="L301" i="12"/>
  <c r="N301" i="12" s="1"/>
  <c r="L300" i="12"/>
  <c r="N300" i="12" s="1"/>
  <c r="M299" i="12"/>
  <c r="M296" i="12" s="1"/>
  <c r="N298" i="12"/>
  <c r="J296" i="12"/>
  <c r="I293" i="12"/>
  <c r="K293" i="12" s="1"/>
  <c r="I292" i="12"/>
  <c r="K292" i="12" s="1"/>
  <c r="I291" i="12"/>
  <c r="K291" i="12" s="1"/>
  <c r="M280" i="12"/>
  <c r="L280" i="12"/>
  <c r="N280" i="12" s="1"/>
  <c r="L279" i="12"/>
  <c r="N279" i="12" s="1"/>
  <c r="M278" i="12"/>
  <c r="M275" i="12" s="1"/>
  <c r="M242" i="12" s="1"/>
  <c r="N277" i="12"/>
  <c r="J276" i="12"/>
  <c r="J275" i="12"/>
  <c r="I272" i="12"/>
  <c r="K272" i="12" s="1"/>
  <c r="I271" i="12"/>
  <c r="J270" i="12"/>
  <c r="J244" i="12" s="1"/>
  <c r="I268" i="12"/>
  <c r="K268" i="12" s="1"/>
  <c r="I266" i="12"/>
  <c r="K266" i="12" s="1"/>
  <c r="I264" i="12"/>
  <c r="J263" i="12"/>
  <c r="J245" i="12" s="1"/>
  <c r="I263" i="12"/>
  <c r="I265" i="12" s="1"/>
  <c r="K265" i="12" s="1"/>
  <c r="J262" i="12"/>
  <c r="I260" i="12"/>
  <c r="K260" i="12" s="1"/>
  <c r="J259" i="12"/>
  <c r="M249" i="12"/>
  <c r="L249" i="12"/>
  <c r="N249" i="12" s="1"/>
  <c r="L248" i="12"/>
  <c r="M247" i="12"/>
  <c r="M244" i="12" s="1"/>
  <c r="N246" i="12"/>
  <c r="K241" i="12"/>
  <c r="J241" i="12"/>
  <c r="J240" i="12"/>
  <c r="J228" i="12" s="1"/>
  <c r="I240" i="12"/>
  <c r="K239" i="12"/>
  <c r="J239" i="12"/>
  <c r="J238" i="12"/>
  <c r="I238" i="12"/>
  <c r="K237" i="12"/>
  <c r="J237" i="12"/>
  <c r="J236" i="12"/>
  <c r="I236" i="12"/>
  <c r="J235" i="12"/>
  <c r="I235" i="12"/>
  <c r="K234" i="12"/>
  <c r="J234" i="12"/>
  <c r="L232" i="12"/>
  <c r="N232" i="12" s="1"/>
  <c r="L231" i="12"/>
  <c r="N231" i="12" s="1"/>
  <c r="M230" i="12"/>
  <c r="N229" i="12"/>
  <c r="M228" i="12"/>
  <c r="I224" i="12"/>
  <c r="I214" i="12" s="1"/>
  <c r="K214" i="12" s="1"/>
  <c r="L218" i="12"/>
  <c r="N217" i="12"/>
  <c r="M216" i="12"/>
  <c r="N215" i="12"/>
  <c r="M214" i="12"/>
  <c r="J214" i="12"/>
  <c r="I211" i="12"/>
  <c r="K211" i="12" s="1"/>
  <c r="I209" i="12"/>
  <c r="L203" i="12"/>
  <c r="N202" i="12"/>
  <c r="M201" i="12"/>
  <c r="N200" i="12"/>
  <c r="M199" i="12"/>
  <c r="J199" i="12"/>
  <c r="I195" i="12"/>
  <c r="L189" i="12"/>
  <c r="N189" i="12" s="1"/>
  <c r="L188" i="12"/>
  <c r="M187" i="12"/>
  <c r="N186" i="12"/>
  <c r="M185" i="12"/>
  <c r="J185" i="12"/>
  <c r="I182" i="12"/>
  <c r="K182" i="12" s="1"/>
  <c r="I181" i="12"/>
  <c r="K181" i="12" s="1"/>
  <c r="I180" i="12"/>
  <c r="I179" i="12"/>
  <c r="K179" i="12" s="1"/>
  <c r="L173" i="12"/>
  <c r="N173" i="12" s="1"/>
  <c r="L172" i="12"/>
  <c r="N172" i="12" s="1"/>
  <c r="M171" i="12"/>
  <c r="N170" i="12"/>
  <c r="M169" i="12"/>
  <c r="J169" i="12"/>
  <c r="K164" i="12"/>
  <c r="J158" i="12"/>
  <c r="I158" i="12"/>
  <c r="K158" i="12" s="1"/>
  <c r="I155" i="12"/>
  <c r="K155" i="12" s="1"/>
  <c r="J149" i="12"/>
  <c r="J144" i="12" s="1"/>
  <c r="L148" i="12"/>
  <c r="N148" i="12" s="1"/>
  <c r="N147" i="12"/>
  <c r="M146" i="12"/>
  <c r="N145" i="12"/>
  <c r="M144" i="12"/>
  <c r="L141" i="12"/>
  <c r="N141" i="12" s="1"/>
  <c r="I141" i="12"/>
  <c r="K141" i="12" s="1"/>
  <c r="L140" i="12"/>
  <c r="N140" i="12" s="1"/>
  <c r="I140" i="12"/>
  <c r="K140" i="12" s="1"/>
  <c r="L138" i="12"/>
  <c r="N138" i="12" s="1"/>
  <c r="I138" i="12"/>
  <c r="L132" i="12"/>
  <c r="M131" i="12"/>
  <c r="N130" i="12"/>
  <c r="M129" i="12"/>
  <c r="J129" i="12"/>
  <c r="L126" i="12"/>
  <c r="N126" i="12" s="1"/>
  <c r="I126" i="12"/>
  <c r="K126" i="12" s="1"/>
  <c r="L125" i="12"/>
  <c r="N125" i="12" s="1"/>
  <c r="I125" i="12"/>
  <c r="I124" i="12"/>
  <c r="K124" i="12" s="1"/>
  <c r="L117" i="12"/>
  <c r="N117" i="12" s="1"/>
  <c r="M116" i="12"/>
  <c r="N115" i="12"/>
  <c r="M114" i="12"/>
  <c r="J114" i="12"/>
  <c r="L111" i="12"/>
  <c r="N111" i="12" s="1"/>
  <c r="I111" i="12"/>
  <c r="K111" i="12" s="1"/>
  <c r="L110" i="12"/>
  <c r="N110" i="12" s="1"/>
  <c r="I110" i="12"/>
  <c r="K110" i="12" s="1"/>
  <c r="L104" i="12"/>
  <c r="N104" i="12" s="1"/>
  <c r="M103" i="12"/>
  <c r="N102" i="12"/>
  <c r="M101" i="12"/>
  <c r="J101" i="12"/>
  <c r="L98" i="12"/>
  <c r="N98" i="12" s="1"/>
  <c r="I98" i="12"/>
  <c r="L92" i="12"/>
  <c r="N92" i="12" s="1"/>
  <c r="M91" i="12"/>
  <c r="M89" i="12" s="1"/>
  <c r="N90" i="12"/>
  <c r="J89" i="12"/>
  <c r="J84" i="12"/>
  <c r="I83" i="12"/>
  <c r="K83" i="12" s="1"/>
  <c r="L77" i="12"/>
  <c r="N77" i="12" s="1"/>
  <c r="M76" i="12"/>
  <c r="N75" i="12"/>
  <c r="M74" i="12"/>
  <c r="J74" i="12"/>
  <c r="M73" i="12"/>
  <c r="L72" i="12"/>
  <c r="M71" i="12"/>
  <c r="N70" i="12"/>
  <c r="M68" i="12"/>
  <c r="J68" i="12"/>
  <c r="I62" i="12"/>
  <c r="L56" i="12"/>
  <c r="N56" i="12" s="1"/>
  <c r="L55" i="12"/>
  <c r="N55" i="12" s="1"/>
  <c r="M54" i="12"/>
  <c r="M52" i="12" s="1"/>
  <c r="N53" i="12"/>
  <c r="J52" i="12"/>
  <c r="I48" i="12"/>
  <c r="I47" i="12"/>
  <c r="K47" i="12" s="1"/>
  <c r="I46" i="12"/>
  <c r="K46" i="12" s="1"/>
  <c r="I45" i="12"/>
  <c r="K45" i="12" s="1"/>
  <c r="I44" i="12"/>
  <c r="K44" i="12" s="1"/>
  <c r="I43" i="12"/>
  <c r="K43" i="12" s="1"/>
  <c r="L37" i="12"/>
  <c r="N37" i="12" s="1"/>
  <c r="L36" i="12"/>
  <c r="N36" i="12" s="1"/>
  <c r="M35" i="12"/>
  <c r="M32" i="12" s="1"/>
  <c r="L35" i="12"/>
  <c r="N34" i="12"/>
  <c r="J33" i="12"/>
  <c r="J32" i="12"/>
  <c r="I28" i="12"/>
  <c r="K28" i="12" s="1"/>
  <c r="I27" i="12"/>
  <c r="K27" i="12" s="1"/>
  <c r="I26" i="12"/>
  <c r="K26" i="12" s="1"/>
  <c r="I25" i="12"/>
  <c r="K25" i="12" s="1"/>
  <c r="I24" i="12"/>
  <c r="K24" i="12" s="1"/>
  <c r="I23" i="12"/>
  <c r="K23" i="12" s="1"/>
  <c r="I22" i="12"/>
  <c r="J21" i="12"/>
  <c r="J20" i="12"/>
  <c r="J9" i="12" s="1"/>
  <c r="L14" i="12"/>
  <c r="N14" i="12" s="1"/>
  <c r="L13" i="12"/>
  <c r="N13" i="12" s="1"/>
  <c r="M12" i="12"/>
  <c r="M9" i="12" s="1"/>
  <c r="L12" i="12"/>
  <c r="N12" i="12" s="1"/>
  <c r="N11" i="12"/>
  <c r="J10" i="12"/>
  <c r="M6" i="12"/>
  <c r="J528" i="11"/>
  <c r="I528" i="11"/>
  <c r="J527" i="11"/>
  <c r="I527" i="11"/>
  <c r="J526" i="11"/>
  <c r="I526" i="11"/>
  <c r="K526" i="11" s="1"/>
  <c r="J525" i="11"/>
  <c r="I525" i="11"/>
  <c r="K525" i="11" s="1"/>
  <c r="J524" i="11"/>
  <c r="I524" i="11"/>
  <c r="J523" i="11"/>
  <c r="I523" i="11"/>
  <c r="J522" i="11"/>
  <c r="I522" i="11"/>
  <c r="J521" i="11"/>
  <c r="I521" i="11"/>
  <c r="J517" i="11"/>
  <c r="I517" i="11"/>
  <c r="J514" i="11"/>
  <c r="J513" i="11" s="1"/>
  <c r="I514" i="11"/>
  <c r="I513" i="11"/>
  <c r="K516" i="11" s="1"/>
  <c r="J510" i="11"/>
  <c r="I510" i="11"/>
  <c r="J504" i="11"/>
  <c r="J490" i="11" s="1"/>
  <c r="I504" i="11"/>
  <c r="M494" i="11"/>
  <c r="L494" i="11"/>
  <c r="N494" i="11" s="1"/>
  <c r="L493" i="11"/>
  <c r="M492" i="11"/>
  <c r="N491" i="11"/>
  <c r="M490" i="11"/>
  <c r="J489" i="11"/>
  <c r="I489" i="11"/>
  <c r="K489" i="11" s="1"/>
  <c r="J488" i="11"/>
  <c r="J473" i="11" s="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J483" i="11"/>
  <c r="I483" i="11"/>
  <c r="K483" i="11" s="1"/>
  <c r="J482" i="11"/>
  <c r="I482" i="11"/>
  <c r="K482" i="11" s="1"/>
  <c r="M477" i="11"/>
  <c r="M475" i="11" s="1"/>
  <c r="M473" i="11" s="1"/>
  <c r="L477" i="11"/>
  <c r="N477" i="11" s="1"/>
  <c r="L476" i="11"/>
  <c r="N474" i="11"/>
  <c r="K472" i="11"/>
  <c r="K471" i="11"/>
  <c r="K470" i="11"/>
  <c r="K469" i="11"/>
  <c r="K468" i="11"/>
  <c r="J466" i="11"/>
  <c r="I466" i="11"/>
  <c r="K466" i="11" s="1"/>
  <c r="M461" i="11"/>
  <c r="M459" i="11" s="1"/>
  <c r="M457" i="11" s="1"/>
  <c r="L461" i="11"/>
  <c r="L460" i="11"/>
  <c r="N460" i="11" s="1"/>
  <c r="N458" i="11"/>
  <c r="J457" i="11"/>
  <c r="I456" i="11"/>
  <c r="K456" i="11" s="1"/>
  <c r="I455" i="11"/>
  <c r="I454" i="11"/>
  <c r="K454" i="11" s="1"/>
  <c r="I453" i="11"/>
  <c r="K453" i="11" s="1"/>
  <c r="M448" i="11"/>
  <c r="L448" i="11"/>
  <c r="N448" i="11" s="1"/>
  <c r="L447" i="11"/>
  <c r="M446" i="11"/>
  <c r="M444" i="11" s="1"/>
  <c r="N445" i="11"/>
  <c r="J444" i="11"/>
  <c r="I441" i="11"/>
  <c r="K441" i="11" s="1"/>
  <c r="I440" i="11"/>
  <c r="M430" i="11"/>
  <c r="L430" i="11"/>
  <c r="N430" i="11" s="1"/>
  <c r="L429" i="11"/>
  <c r="M428" i="11"/>
  <c r="N427" i="11"/>
  <c r="M426" i="11"/>
  <c r="J426" i="11"/>
  <c r="J417" i="11"/>
  <c r="I419" i="11" s="1"/>
  <c r="J416" i="11"/>
  <c r="I418" i="11" s="1"/>
  <c r="J415" i="11"/>
  <c r="J414" i="11"/>
  <c r="J413" i="11"/>
  <c r="J412" i="11"/>
  <c r="I411" i="11"/>
  <c r="I410" i="11"/>
  <c r="I409" i="11"/>
  <c r="K408" i="11"/>
  <c r="K407" i="11"/>
  <c r="K406" i="11"/>
  <c r="K405" i="11"/>
  <c r="K404" i="11"/>
  <c r="K403" i="11"/>
  <c r="K402" i="11"/>
  <c r="J402" i="11"/>
  <c r="K401" i="11"/>
  <c r="J401" i="11"/>
  <c r="J391" i="11" s="1"/>
  <c r="J390" i="11" s="1"/>
  <c r="K400" i="11"/>
  <c r="K399" i="11"/>
  <c r="K398" i="11"/>
  <c r="K397" i="11"/>
  <c r="K396" i="11"/>
  <c r="K395" i="11"/>
  <c r="K394" i="11"/>
  <c r="J394" i="11"/>
  <c r="K393" i="11"/>
  <c r="J393" i="11"/>
  <c r="J392" i="11"/>
  <c r="I392" i="11"/>
  <c r="K392" i="11" s="1"/>
  <c r="I391" i="11"/>
  <c r="K391" i="11" s="1"/>
  <c r="I390" i="11"/>
  <c r="K390" i="11" s="1"/>
  <c r="K389" i="11"/>
  <c r="K388" i="11"/>
  <c r="K387" i="11"/>
  <c r="K386" i="11"/>
  <c r="K385" i="11"/>
  <c r="K384" i="11"/>
  <c r="K383" i="11"/>
  <c r="J383" i="11"/>
  <c r="K382" i="11"/>
  <c r="J382" i="11"/>
  <c r="J376" i="11" s="1"/>
  <c r="K381" i="11"/>
  <c r="K380" i="11"/>
  <c r="K379" i="11"/>
  <c r="K378" i="11"/>
  <c r="J377" i="11"/>
  <c r="K375" i="11"/>
  <c r="K374" i="11"/>
  <c r="K373" i="11"/>
  <c r="K372" i="11"/>
  <c r="K371" i="11"/>
  <c r="K370" i="11"/>
  <c r="J369" i="11"/>
  <c r="J368" i="11"/>
  <c r="K367" i="11"/>
  <c r="K366" i="11"/>
  <c r="K365" i="11"/>
  <c r="K364" i="11"/>
  <c r="K363" i="11"/>
  <c r="K362" i="11"/>
  <c r="J361" i="11"/>
  <c r="I361" i="11"/>
  <c r="K361" i="11" s="1"/>
  <c r="J360" i="11"/>
  <c r="I360" i="11"/>
  <c r="K360" i="11" s="1"/>
  <c r="J359" i="11"/>
  <c r="I359" i="11"/>
  <c r="I350" i="11" s="1"/>
  <c r="M354" i="11"/>
  <c r="L354" i="11"/>
  <c r="L353" i="11"/>
  <c r="N353" i="11" s="1"/>
  <c r="M352" i="11"/>
  <c r="N351" i="11"/>
  <c r="M350" i="11"/>
  <c r="J350" i="11"/>
  <c r="I347" i="11"/>
  <c r="K347" i="11" s="1"/>
  <c r="I346" i="11"/>
  <c r="K346" i="11" s="1"/>
  <c r="I345" i="11"/>
  <c r="K345" i="11" s="1"/>
  <c r="J344" i="11"/>
  <c r="M334" i="11"/>
  <c r="L334" i="11"/>
  <c r="L333" i="11"/>
  <c r="N333" i="11" s="1"/>
  <c r="M332" i="11"/>
  <c r="M330" i="11" s="1"/>
  <c r="M242" i="11" s="1"/>
  <c r="N331" i="11"/>
  <c r="J330" i="11"/>
  <c r="I327" i="11"/>
  <c r="K327" i="11" s="1"/>
  <c r="I326" i="11"/>
  <c r="K326" i="11" s="1"/>
  <c r="I324" i="11"/>
  <c r="K324" i="11" s="1"/>
  <c r="I323" i="11"/>
  <c r="I322" i="11"/>
  <c r="K322" i="11" s="1"/>
  <c r="I321" i="11"/>
  <c r="I320" i="11"/>
  <c r="K320" i="11" s="1"/>
  <c r="I319" i="11"/>
  <c r="I318" i="11"/>
  <c r="K318" i="11" s="1"/>
  <c r="I317" i="11"/>
  <c r="I316" i="11"/>
  <c r="I315" i="11"/>
  <c r="K315" i="11" s="1"/>
  <c r="I314" i="11"/>
  <c r="I313" i="11"/>
  <c r="K313" i="11" s="1"/>
  <c r="I312" i="11"/>
  <c r="K312" i="11" s="1"/>
  <c r="M301" i="11"/>
  <c r="L301" i="11"/>
  <c r="N301" i="11" s="1"/>
  <c r="L300" i="11"/>
  <c r="M299" i="11"/>
  <c r="M296" i="11" s="1"/>
  <c r="N298" i="11"/>
  <c r="J296" i="11"/>
  <c r="I293" i="11"/>
  <c r="K293" i="11" s="1"/>
  <c r="I292" i="11"/>
  <c r="I275" i="11" s="1"/>
  <c r="K275" i="11" s="1"/>
  <c r="I291" i="11"/>
  <c r="M280" i="11"/>
  <c r="L280" i="11"/>
  <c r="N280" i="11" s="1"/>
  <c r="L279" i="11"/>
  <c r="M278" i="11"/>
  <c r="M275" i="11" s="1"/>
  <c r="N277" i="11"/>
  <c r="J276" i="11"/>
  <c r="J275" i="11"/>
  <c r="I272" i="11"/>
  <c r="K272" i="11" s="1"/>
  <c r="I271" i="11"/>
  <c r="J270" i="11"/>
  <c r="I268" i="11"/>
  <c r="K268" i="11" s="1"/>
  <c r="I266" i="11"/>
  <c r="K266" i="11" s="1"/>
  <c r="I264" i="11"/>
  <c r="K264" i="11" s="1"/>
  <c r="J263" i="11"/>
  <c r="I263" i="11"/>
  <c r="I265" i="11" s="1"/>
  <c r="K265" i="11" s="1"/>
  <c r="J262" i="11"/>
  <c r="I260" i="11"/>
  <c r="K260" i="11" s="1"/>
  <c r="M249" i="11"/>
  <c r="L249" i="11"/>
  <c r="N249" i="11" s="1"/>
  <c r="L248" i="11"/>
  <c r="M247" i="11"/>
  <c r="M244" i="11" s="1"/>
  <c r="N246" i="11"/>
  <c r="J244" i="11"/>
  <c r="K241" i="11"/>
  <c r="J241" i="11"/>
  <c r="J240" i="11"/>
  <c r="J228" i="11" s="1"/>
  <c r="I240" i="11"/>
  <c r="K239" i="11"/>
  <c r="J239" i="11"/>
  <c r="J238" i="11"/>
  <c r="I238" i="11"/>
  <c r="K237" i="11"/>
  <c r="J237" i="11"/>
  <c r="J236" i="11"/>
  <c r="I236" i="11"/>
  <c r="J235" i="11"/>
  <c r="I235" i="11"/>
  <c r="K234" i="11"/>
  <c r="J234" i="11"/>
  <c r="L232" i="11"/>
  <c r="N232" i="11" s="1"/>
  <c r="L231" i="11"/>
  <c r="M230" i="11"/>
  <c r="N229" i="11"/>
  <c r="M228" i="11"/>
  <c r="I224" i="11"/>
  <c r="I214" i="11" s="1"/>
  <c r="K214" i="11" s="1"/>
  <c r="L218" i="11"/>
  <c r="N218" i="11" s="1"/>
  <c r="N217" i="11"/>
  <c r="M216" i="11"/>
  <c r="N215" i="11"/>
  <c r="M214" i="11"/>
  <c r="J214" i="11"/>
  <c r="I211" i="11"/>
  <c r="K211" i="11" s="1"/>
  <c r="I209" i="11"/>
  <c r="L203" i="11"/>
  <c r="N202" i="11"/>
  <c r="M201" i="11"/>
  <c r="N200" i="11"/>
  <c r="M199" i="11"/>
  <c r="J199" i="11"/>
  <c r="I195" i="11"/>
  <c r="I185" i="11" s="1"/>
  <c r="K185" i="11" s="1"/>
  <c r="L189" i="11"/>
  <c r="N189" i="11" s="1"/>
  <c r="L188" i="11"/>
  <c r="N188" i="11" s="1"/>
  <c r="M187" i="11"/>
  <c r="N186" i="11"/>
  <c r="M185" i="11"/>
  <c r="J185" i="11"/>
  <c r="I182" i="11"/>
  <c r="K182" i="11" s="1"/>
  <c r="I181" i="11"/>
  <c r="K181" i="11" s="1"/>
  <c r="I180" i="11"/>
  <c r="K180" i="11" s="1"/>
  <c r="I179" i="11"/>
  <c r="K179" i="11" s="1"/>
  <c r="L173" i="11"/>
  <c r="N173" i="11" s="1"/>
  <c r="L172" i="11"/>
  <c r="N172" i="11" s="1"/>
  <c r="M171" i="11"/>
  <c r="M169" i="11" s="1"/>
  <c r="N170" i="11"/>
  <c r="J169" i="11"/>
  <c r="K164" i="11"/>
  <c r="J158" i="11"/>
  <c r="I158" i="11"/>
  <c r="K158" i="11" s="1"/>
  <c r="I155" i="11"/>
  <c r="K155" i="11" s="1"/>
  <c r="J149" i="11"/>
  <c r="J144" i="11" s="1"/>
  <c r="L148" i="11"/>
  <c r="N147" i="11"/>
  <c r="M146" i="11"/>
  <c r="N145" i="11"/>
  <c r="M144" i="11"/>
  <c r="L141" i="11"/>
  <c r="N141" i="11" s="1"/>
  <c r="I141" i="11"/>
  <c r="K141" i="11" s="1"/>
  <c r="L140" i="11"/>
  <c r="N140" i="11" s="1"/>
  <c r="I140" i="11"/>
  <c r="K140" i="11" s="1"/>
  <c r="L138" i="11"/>
  <c r="N138" i="11" s="1"/>
  <c r="I138" i="11"/>
  <c r="K138" i="11" s="1"/>
  <c r="L132" i="11"/>
  <c r="L131" i="11" s="1"/>
  <c r="M131" i="11"/>
  <c r="N130" i="11"/>
  <c r="M129" i="11"/>
  <c r="J129" i="11"/>
  <c r="L126" i="11"/>
  <c r="N126" i="11" s="1"/>
  <c r="I126" i="11"/>
  <c r="L125" i="11"/>
  <c r="N125" i="11" s="1"/>
  <c r="I125" i="11"/>
  <c r="K125" i="11" s="1"/>
  <c r="I124" i="11"/>
  <c r="K124" i="11" s="1"/>
  <c r="L117" i="11"/>
  <c r="N117" i="11" s="1"/>
  <c r="M116" i="11"/>
  <c r="N115" i="11"/>
  <c r="M114" i="11"/>
  <c r="J114" i="11"/>
  <c r="L111" i="11"/>
  <c r="N111" i="11" s="1"/>
  <c r="I111" i="11"/>
  <c r="L110" i="11"/>
  <c r="N110" i="11" s="1"/>
  <c r="I110" i="11"/>
  <c r="K110" i="11" s="1"/>
  <c r="L104" i="11"/>
  <c r="N104" i="11" s="1"/>
  <c r="M103" i="11"/>
  <c r="N102" i="11"/>
  <c r="M101" i="11"/>
  <c r="J101" i="11"/>
  <c r="L98" i="11"/>
  <c r="N98" i="11" s="1"/>
  <c r="I98" i="11"/>
  <c r="K98" i="11" s="1"/>
  <c r="L92" i="11"/>
  <c r="N92" i="11" s="1"/>
  <c r="M91" i="11"/>
  <c r="N90" i="11"/>
  <c r="M89" i="11"/>
  <c r="J89" i="11"/>
  <c r="J84" i="11"/>
  <c r="I83" i="11"/>
  <c r="L77" i="11"/>
  <c r="N77" i="11" s="1"/>
  <c r="M76" i="11"/>
  <c r="M74" i="11" s="1"/>
  <c r="N75" i="11"/>
  <c r="J74" i="11"/>
  <c r="M73" i="11"/>
  <c r="L72" i="11"/>
  <c r="M71" i="11"/>
  <c r="N70" i="11"/>
  <c r="M68" i="11"/>
  <c r="J68" i="11"/>
  <c r="I62" i="11"/>
  <c r="K62" i="11" s="1"/>
  <c r="L56" i="11"/>
  <c r="N56" i="11" s="1"/>
  <c r="L55" i="11"/>
  <c r="N55" i="11" s="1"/>
  <c r="M54" i="11"/>
  <c r="N53" i="11"/>
  <c r="M52" i="11"/>
  <c r="J52" i="11"/>
  <c r="I48" i="11"/>
  <c r="K48" i="11" s="1"/>
  <c r="I47" i="11"/>
  <c r="K47" i="11" s="1"/>
  <c r="I46" i="11"/>
  <c r="K46" i="11" s="1"/>
  <c r="I45" i="11"/>
  <c r="K45" i="11" s="1"/>
  <c r="I44" i="11"/>
  <c r="K44" i="11" s="1"/>
  <c r="I43" i="11"/>
  <c r="K43" i="11" s="1"/>
  <c r="L37" i="11"/>
  <c r="N37" i="11" s="1"/>
  <c r="L36" i="11"/>
  <c r="N36" i="11" s="1"/>
  <c r="M35" i="11"/>
  <c r="M32" i="11" s="1"/>
  <c r="L35" i="11"/>
  <c r="N34" i="11"/>
  <c r="J33" i="11"/>
  <c r="J32" i="11"/>
  <c r="I28" i="11"/>
  <c r="K28" i="11" s="1"/>
  <c r="I27" i="11"/>
  <c r="K27" i="11" s="1"/>
  <c r="I26" i="11"/>
  <c r="K26" i="11" s="1"/>
  <c r="I25" i="11"/>
  <c r="K25" i="11" s="1"/>
  <c r="I24" i="11"/>
  <c r="K24" i="11" s="1"/>
  <c r="I23" i="11"/>
  <c r="K23" i="11" s="1"/>
  <c r="I22" i="11"/>
  <c r="J21" i="11"/>
  <c r="J20" i="11"/>
  <c r="J9" i="11" s="1"/>
  <c r="L14" i="11"/>
  <c r="N14" i="11" s="1"/>
  <c r="L13" i="11"/>
  <c r="N13" i="11" s="1"/>
  <c r="M12" i="11"/>
  <c r="M9" i="11" s="1"/>
  <c r="L12" i="11"/>
  <c r="N11" i="11"/>
  <c r="J10" i="11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17" i="10"/>
  <c r="I517" i="10"/>
  <c r="J514" i="10"/>
  <c r="J513" i="10" s="1"/>
  <c r="I514" i="10"/>
  <c r="I513" i="10"/>
  <c r="K514" i="10" s="1"/>
  <c r="J510" i="10"/>
  <c r="I510" i="10"/>
  <c r="J504" i="10"/>
  <c r="J490" i="10" s="1"/>
  <c r="I504" i="10"/>
  <c r="M494" i="10"/>
  <c r="L494" i="10"/>
  <c r="N494" i="10" s="1"/>
  <c r="L493" i="10"/>
  <c r="M492" i="10"/>
  <c r="N491" i="10"/>
  <c r="M490" i="10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J483" i="10"/>
  <c r="I483" i="10"/>
  <c r="K483" i="10" s="1"/>
  <c r="J482" i="10"/>
  <c r="I482" i="10"/>
  <c r="K482" i="10" s="1"/>
  <c r="M477" i="10"/>
  <c r="M475" i="10" s="1"/>
  <c r="M473" i="10" s="1"/>
  <c r="L477" i="10"/>
  <c r="N477" i="10" s="1"/>
  <c r="L476" i="10"/>
  <c r="N474" i="10"/>
  <c r="J473" i="10"/>
  <c r="K472" i="10"/>
  <c r="K471" i="10"/>
  <c r="K470" i="10"/>
  <c r="K469" i="10"/>
  <c r="K468" i="10"/>
  <c r="J466" i="10"/>
  <c r="I466" i="10"/>
  <c r="I457" i="10" s="1"/>
  <c r="M461" i="10"/>
  <c r="L461" i="10"/>
  <c r="N461" i="10" s="1"/>
  <c r="L460" i="10"/>
  <c r="N460" i="10" s="1"/>
  <c r="M459" i="10"/>
  <c r="N458" i="10"/>
  <c r="M457" i="10"/>
  <c r="I456" i="10"/>
  <c r="K456" i="10" s="1"/>
  <c r="I455" i="10"/>
  <c r="K455" i="10" s="1"/>
  <c r="I454" i="10"/>
  <c r="K454" i="10" s="1"/>
  <c r="I453" i="10"/>
  <c r="M448" i="10"/>
  <c r="L448" i="10"/>
  <c r="N448" i="10" s="1"/>
  <c r="L447" i="10"/>
  <c r="M446" i="10"/>
  <c r="N445" i="10"/>
  <c r="M444" i="10"/>
  <c r="J444" i="10"/>
  <c r="I441" i="10"/>
  <c r="K441" i="10" s="1"/>
  <c r="I440" i="10"/>
  <c r="M430" i="10"/>
  <c r="L430" i="10"/>
  <c r="N430" i="10" s="1"/>
  <c r="L429" i="10"/>
  <c r="M428" i="10"/>
  <c r="N427" i="10"/>
  <c r="M426" i="10"/>
  <c r="J426" i="10"/>
  <c r="J417" i="10"/>
  <c r="I419" i="10" s="1"/>
  <c r="J416" i="10"/>
  <c r="I418" i="10" s="1"/>
  <c r="J415" i="10"/>
  <c r="J414" i="10"/>
  <c r="J413" i="10"/>
  <c r="J412" i="10"/>
  <c r="I411" i="10"/>
  <c r="I410" i="10"/>
  <c r="I409" i="10"/>
  <c r="K408" i="10"/>
  <c r="K407" i="10"/>
  <c r="K406" i="10"/>
  <c r="K405" i="10"/>
  <c r="K404" i="10"/>
  <c r="K403" i="10"/>
  <c r="K402" i="10"/>
  <c r="J402" i="10"/>
  <c r="K401" i="10"/>
  <c r="J401" i="10"/>
  <c r="J391" i="10" s="1"/>
  <c r="J390" i="10" s="1"/>
  <c r="K400" i="10"/>
  <c r="K399" i="10"/>
  <c r="K398" i="10"/>
  <c r="K397" i="10"/>
  <c r="K396" i="10"/>
  <c r="K395" i="10"/>
  <c r="K394" i="10"/>
  <c r="J394" i="10"/>
  <c r="J392" i="10" s="1"/>
  <c r="K393" i="10"/>
  <c r="J393" i="10"/>
  <c r="I392" i="10"/>
  <c r="K392" i="10" s="1"/>
  <c r="I391" i="10"/>
  <c r="K391" i="10" s="1"/>
  <c r="I390" i="10"/>
  <c r="K390" i="10" s="1"/>
  <c r="K389" i="10"/>
  <c r="K388" i="10"/>
  <c r="K387" i="10"/>
  <c r="K386" i="10"/>
  <c r="K385" i="10"/>
  <c r="K384" i="10"/>
  <c r="K383" i="10"/>
  <c r="J383" i="10"/>
  <c r="K382" i="10"/>
  <c r="J382" i="10"/>
  <c r="J376" i="10" s="1"/>
  <c r="J359" i="10" s="1"/>
  <c r="J350" i="10" s="1"/>
  <c r="K381" i="10"/>
  <c r="K380" i="10"/>
  <c r="K379" i="10"/>
  <c r="K378" i="10"/>
  <c r="J377" i="10"/>
  <c r="K375" i="10"/>
  <c r="K374" i="10"/>
  <c r="K373" i="10"/>
  <c r="K372" i="10"/>
  <c r="K371" i="10"/>
  <c r="K370" i="10"/>
  <c r="J369" i="10"/>
  <c r="J368" i="10"/>
  <c r="K367" i="10"/>
  <c r="K366" i="10"/>
  <c r="K365" i="10"/>
  <c r="K364" i="10"/>
  <c r="K363" i="10"/>
  <c r="K362" i="10"/>
  <c r="J361" i="10"/>
  <c r="I361" i="10"/>
  <c r="J360" i="10"/>
  <c r="I360" i="10"/>
  <c r="I376" i="10" s="1"/>
  <c r="K376" i="10" s="1"/>
  <c r="I359" i="10"/>
  <c r="M354" i="10"/>
  <c r="L354" i="10"/>
  <c r="N354" i="10" s="1"/>
  <c r="L353" i="10"/>
  <c r="M352" i="10"/>
  <c r="N351" i="10"/>
  <c r="M350" i="10"/>
  <c r="I347" i="10"/>
  <c r="K347" i="10" s="1"/>
  <c r="I346" i="10"/>
  <c r="K346" i="10" s="1"/>
  <c r="I345" i="10"/>
  <c r="J344" i="10"/>
  <c r="M334" i="10"/>
  <c r="L334" i="10"/>
  <c r="N334" i="10" s="1"/>
  <c r="L333" i="10"/>
  <c r="M332" i="10"/>
  <c r="M330" i="10" s="1"/>
  <c r="N331" i="10"/>
  <c r="I327" i="10"/>
  <c r="K327" i="10" s="1"/>
  <c r="I326" i="10"/>
  <c r="I324" i="10"/>
  <c r="I323" i="10"/>
  <c r="K323" i="10" s="1"/>
  <c r="I322" i="10"/>
  <c r="K322" i="10" s="1"/>
  <c r="I321" i="10"/>
  <c r="I320" i="10"/>
  <c r="I319" i="10"/>
  <c r="K319" i="10" s="1"/>
  <c r="I318" i="10"/>
  <c r="K318" i="10" s="1"/>
  <c r="I317" i="10"/>
  <c r="I316" i="10"/>
  <c r="I315" i="10"/>
  <c r="K315" i="10" s="1"/>
  <c r="I314" i="10"/>
  <c r="I313" i="10"/>
  <c r="K313" i="10" s="1"/>
  <c r="I312" i="10"/>
  <c r="M301" i="10"/>
  <c r="L301" i="10"/>
  <c r="N301" i="10" s="1"/>
  <c r="L300" i="10"/>
  <c r="N300" i="10" s="1"/>
  <c r="M299" i="10"/>
  <c r="M296" i="10" s="1"/>
  <c r="N298" i="10"/>
  <c r="J296" i="10"/>
  <c r="I293" i="10"/>
  <c r="K293" i="10" s="1"/>
  <c r="I292" i="10"/>
  <c r="I291" i="10"/>
  <c r="I276" i="10" s="1"/>
  <c r="K276" i="10" s="1"/>
  <c r="M280" i="10"/>
  <c r="L280" i="10"/>
  <c r="L279" i="10"/>
  <c r="N279" i="10" s="1"/>
  <c r="M278" i="10"/>
  <c r="M275" i="10" s="1"/>
  <c r="N277" i="10"/>
  <c r="J276" i="10"/>
  <c r="J275" i="10"/>
  <c r="I272" i="10"/>
  <c r="K272" i="10" s="1"/>
  <c r="I271" i="10"/>
  <c r="J270" i="10"/>
  <c r="I268" i="10"/>
  <c r="K268" i="10" s="1"/>
  <c r="I266" i="10"/>
  <c r="K266" i="10" s="1"/>
  <c r="I264" i="10"/>
  <c r="K264" i="10" s="1"/>
  <c r="J263" i="10"/>
  <c r="J259" i="10" s="1"/>
  <c r="I263" i="10"/>
  <c r="J262" i="10"/>
  <c r="I260" i="10"/>
  <c r="K260" i="10" s="1"/>
  <c r="M249" i="10"/>
  <c r="L249" i="10"/>
  <c r="N249" i="10" s="1"/>
  <c r="L248" i="10"/>
  <c r="M247" i="10"/>
  <c r="M244" i="10" s="1"/>
  <c r="N246" i="10"/>
  <c r="J244" i="10"/>
  <c r="K241" i="10"/>
  <c r="J241" i="10"/>
  <c r="J240" i="10"/>
  <c r="J228" i="10" s="1"/>
  <c r="I240" i="10"/>
  <c r="K240" i="10" s="1"/>
  <c r="K239" i="10"/>
  <c r="J239" i="10"/>
  <c r="J238" i="10"/>
  <c r="I238" i="10"/>
  <c r="K238" i="10" s="1"/>
  <c r="K237" i="10"/>
  <c r="J237" i="10"/>
  <c r="J236" i="10"/>
  <c r="I236" i="10"/>
  <c r="K236" i="10" s="1"/>
  <c r="J235" i="10"/>
  <c r="I235" i="10"/>
  <c r="K235" i="10" s="1"/>
  <c r="K234" i="10"/>
  <c r="J234" i="10"/>
  <c r="L232" i="10"/>
  <c r="N232" i="10" s="1"/>
  <c r="L231" i="10"/>
  <c r="M230" i="10"/>
  <c r="M228" i="10" s="1"/>
  <c r="N229" i="10"/>
  <c r="I224" i="10"/>
  <c r="K224" i="10" s="1"/>
  <c r="L218" i="10"/>
  <c r="N218" i="10" s="1"/>
  <c r="N217" i="10"/>
  <c r="M216" i="10"/>
  <c r="N215" i="10"/>
  <c r="M214" i="10"/>
  <c r="J214" i="10"/>
  <c r="K211" i="10"/>
  <c r="I211" i="10"/>
  <c r="K209" i="10"/>
  <c r="I209" i="10"/>
  <c r="I199" i="10" s="1"/>
  <c r="K199" i="10" s="1"/>
  <c r="L203" i="10"/>
  <c r="N203" i="10" s="1"/>
  <c r="N202" i="10"/>
  <c r="M201" i="10"/>
  <c r="M199" i="10" s="1"/>
  <c r="N200" i="10"/>
  <c r="J199" i="10"/>
  <c r="I195" i="10"/>
  <c r="L189" i="10"/>
  <c r="N189" i="10" s="1"/>
  <c r="L188" i="10"/>
  <c r="M187" i="10"/>
  <c r="M185" i="10" s="1"/>
  <c r="N186" i="10"/>
  <c r="J185" i="10"/>
  <c r="I182" i="10"/>
  <c r="K182" i="10" s="1"/>
  <c r="I181" i="10"/>
  <c r="K181" i="10" s="1"/>
  <c r="I180" i="10"/>
  <c r="I179" i="10"/>
  <c r="K179" i="10" s="1"/>
  <c r="L173" i="10"/>
  <c r="N173" i="10" s="1"/>
  <c r="L172" i="10"/>
  <c r="M171" i="10"/>
  <c r="N170" i="10"/>
  <c r="M169" i="10"/>
  <c r="J169" i="10"/>
  <c r="K164" i="10"/>
  <c r="K158" i="10"/>
  <c r="J158" i="10"/>
  <c r="I158" i="10"/>
  <c r="I155" i="10"/>
  <c r="J149" i="10"/>
  <c r="J144" i="10" s="1"/>
  <c r="L148" i="10"/>
  <c r="N147" i="10"/>
  <c r="M146" i="10"/>
  <c r="M144" i="10" s="1"/>
  <c r="N145" i="10"/>
  <c r="L141" i="10"/>
  <c r="N141" i="10" s="1"/>
  <c r="I141" i="10"/>
  <c r="K141" i="10" s="1"/>
  <c r="L140" i="10"/>
  <c r="N140" i="10" s="1"/>
  <c r="I140" i="10"/>
  <c r="K140" i="10" s="1"/>
  <c r="L138" i="10"/>
  <c r="N138" i="10" s="1"/>
  <c r="I138" i="10"/>
  <c r="L132" i="10"/>
  <c r="N132" i="10" s="1"/>
  <c r="M131" i="10"/>
  <c r="M129" i="10" s="1"/>
  <c r="N130" i="10"/>
  <c r="J129" i="10"/>
  <c r="L126" i="10"/>
  <c r="N126" i="10" s="1"/>
  <c r="I126" i="10"/>
  <c r="L125" i="10"/>
  <c r="N125" i="10" s="1"/>
  <c r="I125" i="10"/>
  <c r="I124" i="10"/>
  <c r="K124" i="10" s="1"/>
  <c r="L117" i="10"/>
  <c r="M116" i="10"/>
  <c r="N115" i="10"/>
  <c r="M114" i="10"/>
  <c r="J114" i="10"/>
  <c r="L111" i="10"/>
  <c r="N111" i="10" s="1"/>
  <c r="I111" i="10"/>
  <c r="K111" i="10" s="1"/>
  <c r="L110" i="10"/>
  <c r="N110" i="10" s="1"/>
  <c r="I110" i="10"/>
  <c r="K110" i="10" s="1"/>
  <c r="L104" i="10"/>
  <c r="M103" i="10"/>
  <c r="N102" i="10"/>
  <c r="M101" i="10"/>
  <c r="J101" i="10"/>
  <c r="L98" i="10"/>
  <c r="N98" i="10" s="1"/>
  <c r="I98" i="10"/>
  <c r="L92" i="10"/>
  <c r="M91" i="10"/>
  <c r="N90" i="10"/>
  <c r="M89" i="10"/>
  <c r="J89" i="10"/>
  <c r="J84" i="10"/>
  <c r="I83" i="10"/>
  <c r="K83" i="10" s="1"/>
  <c r="L77" i="10"/>
  <c r="N77" i="10" s="1"/>
  <c r="M76" i="10"/>
  <c r="N75" i="10"/>
  <c r="M74" i="10"/>
  <c r="J74" i="10"/>
  <c r="M73" i="10"/>
  <c r="L72" i="10"/>
  <c r="N72" i="10" s="1"/>
  <c r="M71" i="10"/>
  <c r="M68" i="10" s="1"/>
  <c r="N70" i="10"/>
  <c r="J68" i="10"/>
  <c r="I62" i="10"/>
  <c r="L56" i="10"/>
  <c r="N56" i="10" s="1"/>
  <c r="L55" i="10"/>
  <c r="M54" i="10"/>
  <c r="N53" i="10"/>
  <c r="M52" i="10"/>
  <c r="J52" i="10"/>
  <c r="I48" i="10"/>
  <c r="K48" i="10" s="1"/>
  <c r="I47" i="10"/>
  <c r="K47" i="10" s="1"/>
  <c r="I46" i="10"/>
  <c r="K46" i="10" s="1"/>
  <c r="I45" i="10"/>
  <c r="K45" i="10" s="1"/>
  <c r="I44" i="10"/>
  <c r="I43" i="10"/>
  <c r="K43" i="10" s="1"/>
  <c r="L37" i="10"/>
  <c r="N37" i="10" s="1"/>
  <c r="L36" i="10"/>
  <c r="N36" i="10" s="1"/>
  <c r="M35" i="10"/>
  <c r="M32" i="10" s="1"/>
  <c r="L35" i="10"/>
  <c r="N35" i="10" s="1"/>
  <c r="N34" i="10"/>
  <c r="J33" i="10"/>
  <c r="I33" i="10"/>
  <c r="K33" i="10" s="1"/>
  <c r="J32" i="10"/>
  <c r="I28" i="10"/>
  <c r="K28" i="10" s="1"/>
  <c r="I27" i="10"/>
  <c r="I26" i="10"/>
  <c r="K26" i="10" s="1"/>
  <c r="I25" i="10"/>
  <c r="K25" i="10" s="1"/>
  <c r="I24" i="10"/>
  <c r="K24" i="10" s="1"/>
  <c r="I23" i="10"/>
  <c r="K23" i="10" s="1"/>
  <c r="I22" i="10"/>
  <c r="J21" i="10"/>
  <c r="J20" i="10"/>
  <c r="J9" i="10" s="1"/>
  <c r="L14" i="10"/>
  <c r="N14" i="10" s="1"/>
  <c r="L13" i="10"/>
  <c r="N13" i="10" s="1"/>
  <c r="M12" i="10"/>
  <c r="L12" i="10"/>
  <c r="N12" i="10" s="1"/>
  <c r="N11" i="10"/>
  <c r="J10" i="10"/>
  <c r="M9" i="10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17" i="9"/>
  <c r="I517" i="9"/>
  <c r="J514" i="9"/>
  <c r="J513" i="9" s="1"/>
  <c r="I514" i="9"/>
  <c r="I513" i="9"/>
  <c r="K519" i="9" s="1"/>
  <c r="J510" i="9"/>
  <c r="I510" i="9"/>
  <c r="J504" i="9"/>
  <c r="J490" i="9" s="1"/>
  <c r="I504" i="9"/>
  <c r="M494" i="9"/>
  <c r="L494" i="9"/>
  <c r="N494" i="9" s="1"/>
  <c r="L493" i="9"/>
  <c r="M492" i="9"/>
  <c r="N491" i="9"/>
  <c r="M490" i="9"/>
  <c r="J489" i="9"/>
  <c r="I489" i="9"/>
  <c r="K489" i="9" s="1"/>
  <c r="J488" i="9"/>
  <c r="J473" i="9" s="1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I473" i="9" s="1"/>
  <c r="K473" i="9" s="1"/>
  <c r="J483" i="9"/>
  <c r="I483" i="9"/>
  <c r="K483" i="9" s="1"/>
  <c r="J482" i="9"/>
  <c r="I482" i="9"/>
  <c r="K482" i="9" s="1"/>
  <c r="M477" i="9"/>
  <c r="M475" i="9" s="1"/>
  <c r="M473" i="9" s="1"/>
  <c r="L477" i="9"/>
  <c r="N477" i="9" s="1"/>
  <c r="L476" i="9"/>
  <c r="N476" i="9" s="1"/>
  <c r="N474" i="9"/>
  <c r="K472" i="9"/>
  <c r="K471" i="9"/>
  <c r="K470" i="9"/>
  <c r="K469" i="9"/>
  <c r="K468" i="9"/>
  <c r="J466" i="9"/>
  <c r="I466" i="9"/>
  <c r="M461" i="9"/>
  <c r="M459" i="9" s="1"/>
  <c r="M457" i="9" s="1"/>
  <c r="L461" i="9"/>
  <c r="N461" i="9" s="1"/>
  <c r="L460" i="9"/>
  <c r="N458" i="9"/>
  <c r="J457" i="9"/>
  <c r="I456" i="9"/>
  <c r="K456" i="9" s="1"/>
  <c r="I455" i="9"/>
  <c r="K455" i="9" s="1"/>
  <c r="I454" i="9"/>
  <c r="K454" i="9" s="1"/>
  <c r="I453" i="9"/>
  <c r="K453" i="9" s="1"/>
  <c r="M448" i="9"/>
  <c r="M446" i="9" s="1"/>
  <c r="M444" i="9" s="1"/>
  <c r="L448" i="9"/>
  <c r="L447" i="9"/>
  <c r="N447" i="9" s="1"/>
  <c r="N445" i="9"/>
  <c r="J444" i="9"/>
  <c r="I441" i="9"/>
  <c r="K441" i="9" s="1"/>
  <c r="I440" i="9"/>
  <c r="K440" i="9" s="1"/>
  <c r="M430" i="9"/>
  <c r="L430" i="9"/>
  <c r="N430" i="9" s="1"/>
  <c r="L429" i="9"/>
  <c r="N429" i="9" s="1"/>
  <c r="M428" i="9"/>
  <c r="M426" i="9" s="1"/>
  <c r="N427" i="9"/>
  <c r="J426" i="9"/>
  <c r="J417" i="9"/>
  <c r="I419" i="9" s="1"/>
  <c r="J416" i="9"/>
  <c r="I418" i="9" s="1"/>
  <c r="J415" i="9"/>
  <c r="J414" i="9"/>
  <c r="J413" i="9"/>
  <c r="J412" i="9"/>
  <c r="I411" i="9"/>
  <c r="I410" i="9"/>
  <c r="I409" i="9"/>
  <c r="K408" i="9"/>
  <c r="K407" i="9"/>
  <c r="K406" i="9"/>
  <c r="K405" i="9"/>
  <c r="K404" i="9"/>
  <c r="K403" i="9"/>
  <c r="K402" i="9"/>
  <c r="J402" i="9"/>
  <c r="K401" i="9"/>
  <c r="J401" i="9"/>
  <c r="K400" i="9"/>
  <c r="K399" i="9"/>
  <c r="K398" i="9"/>
  <c r="K397" i="9"/>
  <c r="K396" i="9"/>
  <c r="K395" i="9"/>
  <c r="K394" i="9"/>
  <c r="J394" i="9"/>
  <c r="K393" i="9"/>
  <c r="J393" i="9"/>
  <c r="J392" i="9"/>
  <c r="I392" i="9"/>
  <c r="K392" i="9" s="1"/>
  <c r="J391" i="9"/>
  <c r="J390" i="9" s="1"/>
  <c r="I391" i="9"/>
  <c r="K391" i="9" s="1"/>
  <c r="I390" i="9"/>
  <c r="K390" i="9" s="1"/>
  <c r="K389" i="9"/>
  <c r="K388" i="9"/>
  <c r="K387" i="9"/>
  <c r="K386" i="9"/>
  <c r="K385" i="9"/>
  <c r="K384" i="9"/>
  <c r="K383" i="9"/>
  <c r="J383" i="9"/>
  <c r="K382" i="9"/>
  <c r="J382" i="9"/>
  <c r="J376" i="9" s="1"/>
  <c r="J359" i="9" s="1"/>
  <c r="J350" i="9" s="1"/>
  <c r="K381" i="9"/>
  <c r="K380" i="9"/>
  <c r="K379" i="9"/>
  <c r="K378" i="9"/>
  <c r="J377" i="9"/>
  <c r="K375" i="9"/>
  <c r="K374" i="9"/>
  <c r="K373" i="9"/>
  <c r="K372" i="9"/>
  <c r="K371" i="9"/>
  <c r="K370" i="9"/>
  <c r="J369" i="9"/>
  <c r="J368" i="9"/>
  <c r="K367" i="9"/>
  <c r="K366" i="9"/>
  <c r="K365" i="9"/>
  <c r="K364" i="9"/>
  <c r="K363" i="9"/>
  <c r="K362" i="9"/>
  <c r="J361" i="9"/>
  <c r="I361" i="9"/>
  <c r="J360" i="9"/>
  <c r="I360" i="9"/>
  <c r="K360" i="9" s="1"/>
  <c r="I359" i="9"/>
  <c r="M354" i="9"/>
  <c r="M352" i="9" s="1"/>
  <c r="M350" i="9" s="1"/>
  <c r="L354" i="9"/>
  <c r="N354" i="9" s="1"/>
  <c r="L353" i="9"/>
  <c r="N351" i="9"/>
  <c r="I347" i="9"/>
  <c r="K347" i="9" s="1"/>
  <c r="I346" i="9"/>
  <c r="K346" i="9" s="1"/>
  <c r="I345" i="9"/>
  <c r="J344" i="9"/>
  <c r="M334" i="9"/>
  <c r="M332" i="9" s="1"/>
  <c r="M330" i="9" s="1"/>
  <c r="L334" i="9"/>
  <c r="L333" i="9"/>
  <c r="N331" i="9"/>
  <c r="J330" i="9"/>
  <c r="I327" i="9"/>
  <c r="K327" i="9" s="1"/>
  <c r="I326" i="9"/>
  <c r="I324" i="9"/>
  <c r="K324" i="9" s="1"/>
  <c r="I323" i="9"/>
  <c r="I322" i="9"/>
  <c r="K322" i="9" s="1"/>
  <c r="I321" i="9"/>
  <c r="I320" i="9"/>
  <c r="K320" i="9" s="1"/>
  <c r="I319" i="9"/>
  <c r="K319" i="9" s="1"/>
  <c r="I318" i="9"/>
  <c r="K318" i="9" s="1"/>
  <c r="I317" i="9"/>
  <c r="K317" i="9" s="1"/>
  <c r="I316" i="9"/>
  <c r="I315" i="9"/>
  <c r="I314" i="9"/>
  <c r="K314" i="9" s="1"/>
  <c r="I313" i="9"/>
  <c r="K313" i="9" s="1"/>
  <c r="I312" i="9"/>
  <c r="K312" i="9" s="1"/>
  <c r="M301" i="9"/>
  <c r="L301" i="9"/>
  <c r="N301" i="9" s="1"/>
  <c r="L300" i="9"/>
  <c r="N300" i="9" s="1"/>
  <c r="M299" i="9"/>
  <c r="M296" i="9" s="1"/>
  <c r="N298" i="9"/>
  <c r="J296" i="9"/>
  <c r="I293" i="9"/>
  <c r="K293" i="9" s="1"/>
  <c r="I292" i="9"/>
  <c r="I291" i="9"/>
  <c r="M280" i="9"/>
  <c r="L280" i="9"/>
  <c r="N280" i="9" s="1"/>
  <c r="L279" i="9"/>
  <c r="N279" i="9" s="1"/>
  <c r="M278" i="9"/>
  <c r="M275" i="9" s="1"/>
  <c r="N277" i="9"/>
  <c r="J276" i="9"/>
  <c r="J275" i="9"/>
  <c r="I272" i="9"/>
  <c r="I271" i="9"/>
  <c r="K271" i="9" s="1"/>
  <c r="J270" i="9"/>
  <c r="J244" i="9" s="1"/>
  <c r="I268" i="9"/>
  <c r="K268" i="9" s="1"/>
  <c r="I266" i="9"/>
  <c r="K266" i="9" s="1"/>
  <c r="I264" i="9"/>
  <c r="J263" i="9"/>
  <c r="I263" i="9"/>
  <c r="I265" i="9" s="1"/>
  <c r="K265" i="9" s="1"/>
  <c r="J262" i="9"/>
  <c r="I260" i="9"/>
  <c r="K260" i="9" s="1"/>
  <c r="J259" i="9"/>
  <c r="M249" i="9"/>
  <c r="L249" i="9"/>
  <c r="N249" i="9" s="1"/>
  <c r="L248" i="9"/>
  <c r="M247" i="9"/>
  <c r="M244" i="9" s="1"/>
  <c r="N246" i="9"/>
  <c r="J245" i="9"/>
  <c r="K241" i="9"/>
  <c r="J241" i="9"/>
  <c r="J240" i="9"/>
  <c r="J228" i="9" s="1"/>
  <c r="I240" i="9"/>
  <c r="K240" i="9" s="1"/>
  <c r="K239" i="9"/>
  <c r="J239" i="9"/>
  <c r="J238" i="9"/>
  <c r="I238" i="9"/>
  <c r="K238" i="9" s="1"/>
  <c r="K237" i="9"/>
  <c r="J237" i="9"/>
  <c r="J236" i="9"/>
  <c r="I236" i="9"/>
  <c r="K236" i="9" s="1"/>
  <c r="J235" i="9"/>
  <c r="I235" i="9"/>
  <c r="K235" i="9" s="1"/>
  <c r="K234" i="9"/>
  <c r="J234" i="9"/>
  <c r="L232" i="9"/>
  <c r="N232" i="9" s="1"/>
  <c r="L231" i="9"/>
  <c r="M230" i="9"/>
  <c r="M228" i="9" s="1"/>
  <c r="N229" i="9"/>
  <c r="I224" i="9"/>
  <c r="I214" i="9" s="1"/>
  <c r="K214" i="9" s="1"/>
  <c r="L218" i="9"/>
  <c r="N218" i="9" s="1"/>
  <c r="N217" i="9"/>
  <c r="M216" i="9"/>
  <c r="N215" i="9"/>
  <c r="M214" i="9"/>
  <c r="J214" i="9"/>
  <c r="I211" i="9"/>
  <c r="K211" i="9" s="1"/>
  <c r="I209" i="9"/>
  <c r="K209" i="9" s="1"/>
  <c r="L203" i="9"/>
  <c r="N203" i="9" s="1"/>
  <c r="N202" i="9"/>
  <c r="M201" i="9"/>
  <c r="M199" i="9" s="1"/>
  <c r="N200" i="9"/>
  <c r="J199" i="9"/>
  <c r="I195" i="9"/>
  <c r="L189" i="9"/>
  <c r="N189" i="9" s="1"/>
  <c r="L188" i="9"/>
  <c r="M187" i="9"/>
  <c r="M185" i="9" s="1"/>
  <c r="N186" i="9"/>
  <c r="J185" i="9"/>
  <c r="I182" i="9"/>
  <c r="K182" i="9" s="1"/>
  <c r="I181" i="9"/>
  <c r="K181" i="9" s="1"/>
  <c r="I180" i="9"/>
  <c r="I179" i="9"/>
  <c r="K179" i="9" s="1"/>
  <c r="L173" i="9"/>
  <c r="N173" i="9" s="1"/>
  <c r="L172" i="9"/>
  <c r="M171" i="9"/>
  <c r="N170" i="9"/>
  <c r="M169" i="9"/>
  <c r="J169" i="9"/>
  <c r="K164" i="9"/>
  <c r="K158" i="9"/>
  <c r="J158" i="9"/>
  <c r="I158" i="9"/>
  <c r="I155" i="9"/>
  <c r="J149" i="9"/>
  <c r="J144" i="9" s="1"/>
  <c r="L148" i="9"/>
  <c r="N148" i="9" s="1"/>
  <c r="N147" i="9"/>
  <c r="M146" i="9"/>
  <c r="N145" i="9"/>
  <c r="M144" i="9"/>
  <c r="L141" i="9"/>
  <c r="N141" i="9" s="1"/>
  <c r="I141" i="9"/>
  <c r="K141" i="9" s="1"/>
  <c r="L140" i="9"/>
  <c r="N140" i="9" s="1"/>
  <c r="I140" i="9"/>
  <c r="K140" i="9" s="1"/>
  <c r="L138" i="9"/>
  <c r="N138" i="9" s="1"/>
  <c r="I138" i="9"/>
  <c r="K138" i="9" s="1"/>
  <c r="L132" i="9"/>
  <c r="M131" i="9"/>
  <c r="M129" i="9" s="1"/>
  <c r="N130" i="9"/>
  <c r="J129" i="9"/>
  <c r="L126" i="9"/>
  <c r="N126" i="9" s="1"/>
  <c r="I126" i="9"/>
  <c r="L125" i="9"/>
  <c r="N125" i="9" s="1"/>
  <c r="I125" i="9"/>
  <c r="I124" i="9"/>
  <c r="K124" i="9" s="1"/>
  <c r="L117" i="9"/>
  <c r="M116" i="9"/>
  <c r="N115" i="9"/>
  <c r="M114" i="9"/>
  <c r="J114" i="9"/>
  <c r="L111" i="9"/>
  <c r="N111" i="9" s="1"/>
  <c r="I111" i="9"/>
  <c r="I101" i="9" s="1"/>
  <c r="K101" i="9" s="1"/>
  <c r="L110" i="9"/>
  <c r="N110" i="9" s="1"/>
  <c r="I110" i="9"/>
  <c r="K110" i="9" s="1"/>
  <c r="L104" i="9"/>
  <c r="M103" i="9"/>
  <c r="N102" i="9"/>
  <c r="M101" i="9"/>
  <c r="J101" i="9"/>
  <c r="L98" i="9"/>
  <c r="N98" i="9" s="1"/>
  <c r="I98" i="9"/>
  <c r="I89" i="9" s="1"/>
  <c r="L92" i="9"/>
  <c r="M91" i="9"/>
  <c r="N90" i="9"/>
  <c r="M89" i="9"/>
  <c r="J89" i="9"/>
  <c r="J84" i="9"/>
  <c r="I83" i="9"/>
  <c r="K83" i="9" s="1"/>
  <c r="L77" i="9"/>
  <c r="M76" i="9"/>
  <c r="N75" i="9"/>
  <c r="M74" i="9"/>
  <c r="J74" i="9"/>
  <c r="M73" i="9"/>
  <c r="L72" i="9"/>
  <c r="N72" i="9" s="1"/>
  <c r="M71" i="9"/>
  <c r="M68" i="9" s="1"/>
  <c r="N70" i="9"/>
  <c r="J68" i="9"/>
  <c r="I62" i="9"/>
  <c r="L56" i="9"/>
  <c r="N56" i="9" s="1"/>
  <c r="L55" i="9"/>
  <c r="M54" i="9"/>
  <c r="N53" i="9"/>
  <c r="M52" i="9"/>
  <c r="J52" i="9"/>
  <c r="I48" i="9"/>
  <c r="K48" i="9" s="1"/>
  <c r="I47" i="9"/>
  <c r="K47" i="9" s="1"/>
  <c r="I46" i="9"/>
  <c r="K46" i="9" s="1"/>
  <c r="I45" i="9"/>
  <c r="K45" i="9" s="1"/>
  <c r="I44" i="9"/>
  <c r="I43" i="9"/>
  <c r="K43" i="9" s="1"/>
  <c r="L37" i="9"/>
  <c r="N37" i="9" s="1"/>
  <c r="L36" i="9"/>
  <c r="N36" i="9" s="1"/>
  <c r="M35" i="9"/>
  <c r="M32" i="9" s="1"/>
  <c r="L35" i="9"/>
  <c r="N34" i="9"/>
  <c r="J33" i="9"/>
  <c r="J32" i="9"/>
  <c r="I28" i="9"/>
  <c r="K28" i="9" s="1"/>
  <c r="I27" i="9"/>
  <c r="K27" i="9" s="1"/>
  <c r="I26" i="9"/>
  <c r="K26" i="9" s="1"/>
  <c r="I25" i="9"/>
  <c r="K25" i="9" s="1"/>
  <c r="I24" i="9"/>
  <c r="K24" i="9" s="1"/>
  <c r="I23" i="9"/>
  <c r="K23" i="9" s="1"/>
  <c r="I22" i="9"/>
  <c r="J21" i="9"/>
  <c r="J20" i="9"/>
  <c r="J9" i="9" s="1"/>
  <c r="L14" i="9"/>
  <c r="N14" i="9" s="1"/>
  <c r="L13" i="9"/>
  <c r="N13" i="9" s="1"/>
  <c r="M12" i="9"/>
  <c r="M9" i="9" s="1"/>
  <c r="L12" i="9"/>
  <c r="N12" i="9" s="1"/>
  <c r="N11" i="9"/>
  <c r="J10" i="9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17" i="8"/>
  <c r="I517" i="8"/>
  <c r="J514" i="8"/>
  <c r="J513" i="8" s="1"/>
  <c r="I514" i="8"/>
  <c r="I513" i="8"/>
  <c r="J510" i="8"/>
  <c r="I510" i="8"/>
  <c r="J504" i="8"/>
  <c r="J490" i="8" s="1"/>
  <c r="I504" i="8"/>
  <c r="K507" i="8" s="1"/>
  <c r="M494" i="8"/>
  <c r="L494" i="8"/>
  <c r="N494" i="8" s="1"/>
  <c r="L493" i="8"/>
  <c r="M492" i="8"/>
  <c r="M490" i="8" s="1"/>
  <c r="N491" i="8"/>
  <c r="J489" i="8"/>
  <c r="I489" i="8"/>
  <c r="K489" i="8" s="1"/>
  <c r="J488" i="8"/>
  <c r="J473" i="8" s="1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J483" i="8"/>
  <c r="I483" i="8"/>
  <c r="K483" i="8" s="1"/>
  <c r="J482" i="8"/>
  <c r="I482" i="8"/>
  <c r="K482" i="8" s="1"/>
  <c r="M477" i="8"/>
  <c r="M475" i="8" s="1"/>
  <c r="M473" i="8" s="1"/>
  <c r="L477" i="8"/>
  <c r="N477" i="8" s="1"/>
  <c r="L476" i="8"/>
  <c r="N474" i="8"/>
  <c r="K472" i="8"/>
  <c r="K471" i="8"/>
  <c r="K470" i="8"/>
  <c r="K469" i="8"/>
  <c r="K468" i="8"/>
  <c r="J466" i="8"/>
  <c r="I466" i="8"/>
  <c r="M461" i="8"/>
  <c r="L461" i="8"/>
  <c r="L460" i="8"/>
  <c r="N458" i="8"/>
  <c r="J457" i="8"/>
  <c r="I456" i="8"/>
  <c r="K456" i="8" s="1"/>
  <c r="I455" i="8"/>
  <c r="I454" i="8"/>
  <c r="K454" i="8" s="1"/>
  <c r="I453" i="8"/>
  <c r="K453" i="8" s="1"/>
  <c r="M448" i="8"/>
  <c r="L448" i="8"/>
  <c r="L447" i="8"/>
  <c r="N447" i="8" s="1"/>
  <c r="M446" i="8"/>
  <c r="M444" i="8" s="1"/>
  <c r="N445" i="8"/>
  <c r="J444" i="8"/>
  <c r="I441" i="8"/>
  <c r="K441" i="8" s="1"/>
  <c r="I440" i="8"/>
  <c r="M430" i="8"/>
  <c r="L430" i="8"/>
  <c r="N430" i="8" s="1"/>
  <c r="L429" i="8"/>
  <c r="M428" i="8"/>
  <c r="M426" i="8" s="1"/>
  <c r="N427" i="8"/>
  <c r="J426" i="8"/>
  <c r="J417" i="8"/>
  <c r="I419" i="8" s="1"/>
  <c r="J416" i="8"/>
  <c r="I418" i="8" s="1"/>
  <c r="J415" i="8"/>
  <c r="J414" i="8"/>
  <c r="J413" i="8"/>
  <c r="J412" i="8"/>
  <c r="I411" i="8"/>
  <c r="I410" i="8"/>
  <c r="I409" i="8"/>
  <c r="K408" i="8"/>
  <c r="K407" i="8"/>
  <c r="K406" i="8"/>
  <c r="K405" i="8"/>
  <c r="K404" i="8"/>
  <c r="K403" i="8"/>
  <c r="K402" i="8"/>
  <c r="J402" i="8"/>
  <c r="K401" i="8"/>
  <c r="J401" i="8"/>
  <c r="J391" i="8" s="1"/>
  <c r="J390" i="8" s="1"/>
  <c r="K400" i="8"/>
  <c r="K399" i="8"/>
  <c r="K398" i="8"/>
  <c r="K397" i="8"/>
  <c r="K396" i="8"/>
  <c r="K395" i="8"/>
  <c r="K394" i="8"/>
  <c r="J394" i="8"/>
  <c r="K393" i="8"/>
  <c r="J393" i="8"/>
  <c r="K392" i="8"/>
  <c r="J392" i="8"/>
  <c r="I392" i="8"/>
  <c r="I391" i="8"/>
  <c r="K391" i="8" s="1"/>
  <c r="I390" i="8"/>
  <c r="K390" i="8" s="1"/>
  <c r="K389" i="8"/>
  <c r="K388" i="8"/>
  <c r="K387" i="8"/>
  <c r="K386" i="8"/>
  <c r="K385" i="8"/>
  <c r="K384" i="8"/>
  <c r="K383" i="8"/>
  <c r="J383" i="8"/>
  <c r="J377" i="8" s="1"/>
  <c r="K382" i="8"/>
  <c r="J382" i="8"/>
  <c r="J376" i="8" s="1"/>
  <c r="J359" i="8" s="1"/>
  <c r="K381" i="8"/>
  <c r="K380" i="8"/>
  <c r="K379" i="8"/>
  <c r="K378" i="8"/>
  <c r="K375" i="8"/>
  <c r="K374" i="8"/>
  <c r="K373" i="8"/>
  <c r="K372" i="8"/>
  <c r="K371" i="8"/>
  <c r="K370" i="8"/>
  <c r="J369" i="8"/>
  <c r="J368" i="8"/>
  <c r="K367" i="8"/>
  <c r="K366" i="8"/>
  <c r="K365" i="8"/>
  <c r="K364" i="8"/>
  <c r="K363" i="8"/>
  <c r="K362" i="8"/>
  <c r="J361" i="8"/>
  <c r="I361" i="8"/>
  <c r="K361" i="8" s="1"/>
  <c r="J360" i="8"/>
  <c r="I360" i="8"/>
  <c r="K360" i="8" s="1"/>
  <c r="I359" i="8"/>
  <c r="I368" i="8" s="1"/>
  <c r="K368" i="8" s="1"/>
  <c r="M354" i="8"/>
  <c r="M352" i="8" s="1"/>
  <c r="M350" i="8" s="1"/>
  <c r="L354" i="8"/>
  <c r="N354" i="8" s="1"/>
  <c r="L353" i="8"/>
  <c r="N351" i="8"/>
  <c r="J350" i="8"/>
  <c r="I347" i="8"/>
  <c r="K347" i="8" s="1"/>
  <c r="I346" i="8"/>
  <c r="K346" i="8" s="1"/>
  <c r="I345" i="8"/>
  <c r="J344" i="8"/>
  <c r="M334" i="8"/>
  <c r="M332" i="8" s="1"/>
  <c r="M330" i="8" s="1"/>
  <c r="L334" i="8"/>
  <c r="N334" i="8" s="1"/>
  <c r="L333" i="8"/>
  <c r="N331" i="8"/>
  <c r="J330" i="8"/>
  <c r="I327" i="8"/>
  <c r="K327" i="8" s="1"/>
  <c r="I326" i="8"/>
  <c r="I324" i="8"/>
  <c r="I323" i="8"/>
  <c r="K323" i="8" s="1"/>
  <c r="I322" i="8"/>
  <c r="K322" i="8" s="1"/>
  <c r="I321" i="8"/>
  <c r="I320" i="8"/>
  <c r="K320" i="8" s="1"/>
  <c r="I319" i="8"/>
  <c r="K319" i="8" s="1"/>
  <c r="I318" i="8"/>
  <c r="K318" i="8" s="1"/>
  <c r="I317" i="8"/>
  <c r="K317" i="8" s="1"/>
  <c r="I316" i="8"/>
  <c r="I315" i="8"/>
  <c r="K315" i="8" s="1"/>
  <c r="I314" i="8"/>
  <c r="K314" i="8" s="1"/>
  <c r="I313" i="8"/>
  <c r="K313" i="8" s="1"/>
  <c r="I312" i="8"/>
  <c r="M301" i="8"/>
  <c r="L301" i="8"/>
  <c r="N301" i="8" s="1"/>
  <c r="L300" i="8"/>
  <c r="N300" i="8" s="1"/>
  <c r="M299" i="8"/>
  <c r="M296" i="8" s="1"/>
  <c r="N298" i="8"/>
  <c r="J296" i="8"/>
  <c r="I293" i="8"/>
  <c r="K293" i="8" s="1"/>
  <c r="I292" i="8"/>
  <c r="I275" i="8" s="1"/>
  <c r="K275" i="8" s="1"/>
  <c r="I291" i="8"/>
  <c r="K291" i="8" s="1"/>
  <c r="M280" i="8"/>
  <c r="L280" i="8"/>
  <c r="N280" i="8" s="1"/>
  <c r="L279" i="8"/>
  <c r="M278" i="8"/>
  <c r="M275" i="8" s="1"/>
  <c r="N277" i="8"/>
  <c r="J276" i="8"/>
  <c r="J275" i="8"/>
  <c r="I272" i="8"/>
  <c r="I271" i="8"/>
  <c r="K271" i="8" s="1"/>
  <c r="J270" i="8"/>
  <c r="J244" i="8" s="1"/>
  <c r="I268" i="8"/>
  <c r="K268" i="8" s="1"/>
  <c r="I266" i="8"/>
  <c r="K266" i="8" s="1"/>
  <c r="I264" i="8"/>
  <c r="J263" i="8"/>
  <c r="I263" i="8"/>
  <c r="K263" i="8" s="1"/>
  <c r="J262" i="8"/>
  <c r="I260" i="8"/>
  <c r="K260" i="8" s="1"/>
  <c r="J259" i="8"/>
  <c r="M249" i="8"/>
  <c r="L249" i="8"/>
  <c r="N249" i="8" s="1"/>
  <c r="L248" i="8"/>
  <c r="N248" i="8" s="1"/>
  <c r="M247" i="8"/>
  <c r="M244" i="8" s="1"/>
  <c r="N246" i="8"/>
  <c r="J245" i="8"/>
  <c r="K241" i="8"/>
  <c r="J241" i="8"/>
  <c r="J240" i="8"/>
  <c r="J228" i="8" s="1"/>
  <c r="I240" i="8"/>
  <c r="K240" i="8" s="1"/>
  <c r="K239" i="8"/>
  <c r="J239" i="8"/>
  <c r="J238" i="8"/>
  <c r="I238" i="8"/>
  <c r="K238" i="8" s="1"/>
  <c r="K237" i="8"/>
  <c r="J237" i="8"/>
  <c r="J236" i="8"/>
  <c r="I236" i="8"/>
  <c r="K236" i="8" s="1"/>
  <c r="J235" i="8"/>
  <c r="I235" i="8"/>
  <c r="K235" i="8" s="1"/>
  <c r="K234" i="8"/>
  <c r="J234" i="8"/>
  <c r="L232" i="8"/>
  <c r="N232" i="8" s="1"/>
  <c r="L231" i="8"/>
  <c r="M230" i="8"/>
  <c r="N229" i="8"/>
  <c r="M228" i="8"/>
  <c r="I224" i="8"/>
  <c r="I214" i="8" s="1"/>
  <c r="K214" i="8" s="1"/>
  <c r="L218" i="8"/>
  <c r="N218" i="8" s="1"/>
  <c r="N217" i="8"/>
  <c r="M216" i="8"/>
  <c r="N215" i="8"/>
  <c r="M214" i="8"/>
  <c r="J214" i="8"/>
  <c r="I211" i="8"/>
  <c r="K211" i="8" s="1"/>
  <c r="I209" i="8"/>
  <c r="K209" i="8" s="1"/>
  <c r="L203" i="8"/>
  <c r="N202" i="8"/>
  <c r="M201" i="8"/>
  <c r="N200" i="8"/>
  <c r="M199" i="8"/>
  <c r="J199" i="8"/>
  <c r="I195" i="8"/>
  <c r="I185" i="8" s="1"/>
  <c r="K185" i="8" s="1"/>
  <c r="L189" i="8"/>
  <c r="N189" i="8" s="1"/>
  <c r="L188" i="8"/>
  <c r="M187" i="8"/>
  <c r="N186" i="8"/>
  <c r="M185" i="8"/>
  <c r="J185" i="8"/>
  <c r="I182" i="8"/>
  <c r="K182" i="8" s="1"/>
  <c r="I181" i="8"/>
  <c r="K181" i="8" s="1"/>
  <c r="I180" i="8"/>
  <c r="I169" i="8" s="1"/>
  <c r="K169" i="8" s="1"/>
  <c r="I179" i="8"/>
  <c r="K179" i="8" s="1"/>
  <c r="L173" i="8"/>
  <c r="N173" i="8" s="1"/>
  <c r="L172" i="8"/>
  <c r="M171" i="8"/>
  <c r="N170" i="8"/>
  <c r="M169" i="8"/>
  <c r="J169" i="8"/>
  <c r="K164" i="8"/>
  <c r="K158" i="8"/>
  <c r="J158" i="8"/>
  <c r="I158" i="8"/>
  <c r="I155" i="8"/>
  <c r="J149" i="8"/>
  <c r="J144" i="8" s="1"/>
  <c r="L148" i="8"/>
  <c r="N148" i="8" s="1"/>
  <c r="N147" i="8"/>
  <c r="M146" i="8"/>
  <c r="M144" i="8" s="1"/>
  <c r="N145" i="8"/>
  <c r="L141" i="8"/>
  <c r="N141" i="8" s="1"/>
  <c r="I141" i="8"/>
  <c r="K141" i="8" s="1"/>
  <c r="L140" i="8"/>
  <c r="N140" i="8" s="1"/>
  <c r="I140" i="8"/>
  <c r="K140" i="8" s="1"/>
  <c r="L138" i="8"/>
  <c r="N138" i="8" s="1"/>
  <c r="I138" i="8"/>
  <c r="K138" i="8" s="1"/>
  <c r="L132" i="8"/>
  <c r="L131" i="8" s="1"/>
  <c r="L129" i="8" s="1"/>
  <c r="M131" i="8"/>
  <c r="N130" i="8"/>
  <c r="M129" i="8"/>
  <c r="J129" i="8"/>
  <c r="L126" i="8"/>
  <c r="N126" i="8" s="1"/>
  <c r="I126" i="8"/>
  <c r="K126" i="8" s="1"/>
  <c r="L125" i="8"/>
  <c r="N125" i="8" s="1"/>
  <c r="I125" i="8"/>
  <c r="I124" i="8"/>
  <c r="K124" i="8" s="1"/>
  <c r="L117" i="8"/>
  <c r="M116" i="8"/>
  <c r="N115" i="8"/>
  <c r="M114" i="8"/>
  <c r="J114" i="8"/>
  <c r="L111" i="8"/>
  <c r="N111" i="8" s="1"/>
  <c r="I111" i="8"/>
  <c r="I101" i="8" s="1"/>
  <c r="K101" i="8" s="1"/>
  <c r="L110" i="8"/>
  <c r="N110" i="8" s="1"/>
  <c r="I110" i="8"/>
  <c r="K110" i="8" s="1"/>
  <c r="L104" i="8"/>
  <c r="M103" i="8"/>
  <c r="N102" i="8"/>
  <c r="M101" i="8"/>
  <c r="J101" i="8"/>
  <c r="L98" i="8"/>
  <c r="N98" i="8" s="1"/>
  <c r="I98" i="8"/>
  <c r="K98" i="8" s="1"/>
  <c r="L92" i="8"/>
  <c r="M91" i="8"/>
  <c r="N90" i="8"/>
  <c r="M89" i="8"/>
  <c r="J89" i="8"/>
  <c r="J84" i="8"/>
  <c r="I83" i="8"/>
  <c r="K83" i="8" s="1"/>
  <c r="L77" i="8"/>
  <c r="N77" i="8" s="1"/>
  <c r="M76" i="8"/>
  <c r="N75" i="8"/>
  <c r="M74" i="8"/>
  <c r="J74" i="8"/>
  <c r="M73" i="8"/>
  <c r="L72" i="8"/>
  <c r="N72" i="8" s="1"/>
  <c r="M71" i="8"/>
  <c r="N70" i="8"/>
  <c r="M68" i="8"/>
  <c r="J68" i="8"/>
  <c r="I62" i="8"/>
  <c r="L56" i="8"/>
  <c r="N56" i="8" s="1"/>
  <c r="L55" i="8"/>
  <c r="M54" i="8"/>
  <c r="N53" i="8"/>
  <c r="M52" i="8"/>
  <c r="J52" i="8"/>
  <c r="I48" i="8"/>
  <c r="K48" i="8" s="1"/>
  <c r="I47" i="8"/>
  <c r="K47" i="8" s="1"/>
  <c r="I46" i="8"/>
  <c r="K46" i="8" s="1"/>
  <c r="I45" i="8"/>
  <c r="K45" i="8" s="1"/>
  <c r="I44" i="8"/>
  <c r="I43" i="8"/>
  <c r="K43" i="8" s="1"/>
  <c r="L37" i="8"/>
  <c r="N37" i="8" s="1"/>
  <c r="L36" i="8"/>
  <c r="N36" i="8" s="1"/>
  <c r="M35" i="8"/>
  <c r="M32" i="8" s="1"/>
  <c r="L35" i="8"/>
  <c r="N35" i="8" s="1"/>
  <c r="N34" i="8"/>
  <c r="J33" i="8"/>
  <c r="J32" i="8"/>
  <c r="I28" i="8"/>
  <c r="K28" i="8" s="1"/>
  <c r="I27" i="8"/>
  <c r="K27" i="8" s="1"/>
  <c r="I26" i="8"/>
  <c r="K26" i="8" s="1"/>
  <c r="I25" i="8"/>
  <c r="I24" i="8"/>
  <c r="K24" i="8" s="1"/>
  <c r="I23" i="8"/>
  <c r="K23" i="8" s="1"/>
  <c r="I22" i="8"/>
  <c r="J21" i="8"/>
  <c r="J20" i="8"/>
  <c r="J9" i="8" s="1"/>
  <c r="L14" i="8"/>
  <c r="N14" i="8" s="1"/>
  <c r="L13" i="8"/>
  <c r="N13" i="8" s="1"/>
  <c r="M12" i="8"/>
  <c r="L12" i="8"/>
  <c r="N12" i="8" s="1"/>
  <c r="N11" i="8"/>
  <c r="J10" i="8"/>
  <c r="M9" i="8"/>
  <c r="M6" i="8" s="1"/>
  <c r="J528" i="7"/>
  <c r="I528" i="7"/>
  <c r="J527" i="7"/>
  <c r="I527" i="7"/>
  <c r="J526" i="7"/>
  <c r="I526" i="7"/>
  <c r="K526" i="7" s="1"/>
  <c r="J525" i="7"/>
  <c r="I525" i="7"/>
  <c r="K525" i="7" s="1"/>
  <c r="J524" i="7"/>
  <c r="I524" i="7"/>
  <c r="J523" i="7"/>
  <c r="I523" i="7"/>
  <c r="J522" i="7"/>
  <c r="I522" i="7"/>
  <c r="J521" i="7"/>
  <c r="I521" i="7"/>
  <c r="J517" i="7"/>
  <c r="I517" i="7"/>
  <c r="J514" i="7"/>
  <c r="J513" i="7" s="1"/>
  <c r="I514" i="7"/>
  <c r="I513" i="7"/>
  <c r="K516" i="7" s="1"/>
  <c r="J510" i="7"/>
  <c r="I510" i="7"/>
  <c r="J504" i="7"/>
  <c r="J490" i="7" s="1"/>
  <c r="I504" i="7"/>
  <c r="K506" i="7" s="1"/>
  <c r="M494" i="7"/>
  <c r="L494" i="7"/>
  <c r="N494" i="7" s="1"/>
  <c r="L493" i="7"/>
  <c r="N493" i="7" s="1"/>
  <c r="M492" i="7"/>
  <c r="M490" i="7" s="1"/>
  <c r="N491" i="7"/>
  <c r="J489" i="7"/>
  <c r="I489" i="7"/>
  <c r="K489" i="7" s="1"/>
  <c r="J488" i="7"/>
  <c r="J473" i="7" s="1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I473" i="7" s="1"/>
  <c r="K473" i="7" s="1"/>
  <c r="J483" i="7"/>
  <c r="I483" i="7"/>
  <c r="K483" i="7" s="1"/>
  <c r="J482" i="7"/>
  <c r="I482" i="7"/>
  <c r="K482" i="7" s="1"/>
  <c r="M477" i="7"/>
  <c r="M475" i="7" s="1"/>
  <c r="M473" i="7" s="1"/>
  <c r="L477" i="7"/>
  <c r="N477" i="7" s="1"/>
  <c r="L476" i="7"/>
  <c r="N476" i="7" s="1"/>
  <c r="N474" i="7"/>
  <c r="K472" i="7"/>
  <c r="K471" i="7"/>
  <c r="K470" i="7"/>
  <c r="K469" i="7"/>
  <c r="K468" i="7"/>
  <c r="J466" i="7"/>
  <c r="I466" i="7"/>
  <c r="K466" i="7" s="1"/>
  <c r="M461" i="7"/>
  <c r="M459" i="7" s="1"/>
  <c r="M457" i="7" s="1"/>
  <c r="L461" i="7"/>
  <c r="L460" i="7"/>
  <c r="N458" i="7"/>
  <c r="J457" i="7"/>
  <c r="I456" i="7"/>
  <c r="K456" i="7" s="1"/>
  <c r="I455" i="7"/>
  <c r="I454" i="7"/>
  <c r="K454" i="7" s="1"/>
  <c r="I453" i="7"/>
  <c r="K453" i="7" s="1"/>
  <c r="M448" i="7"/>
  <c r="L448" i="7"/>
  <c r="L447" i="7"/>
  <c r="N447" i="7" s="1"/>
  <c r="M446" i="7"/>
  <c r="M444" i="7" s="1"/>
  <c r="N445" i="7"/>
  <c r="J444" i="7"/>
  <c r="I441" i="7"/>
  <c r="K441" i="7" s="1"/>
  <c r="I440" i="7"/>
  <c r="M430" i="7"/>
  <c r="L430" i="7"/>
  <c r="N430" i="7" s="1"/>
  <c r="L429" i="7"/>
  <c r="M428" i="7"/>
  <c r="N427" i="7"/>
  <c r="M426" i="7"/>
  <c r="J426" i="7"/>
  <c r="J417" i="7"/>
  <c r="I419" i="7" s="1"/>
  <c r="J416" i="7"/>
  <c r="I418" i="7" s="1"/>
  <c r="J415" i="7"/>
  <c r="J414" i="7"/>
  <c r="J413" i="7"/>
  <c r="J412" i="7"/>
  <c r="I411" i="7"/>
  <c r="I410" i="7"/>
  <c r="I409" i="7"/>
  <c r="K408" i="7"/>
  <c r="K407" i="7"/>
  <c r="K406" i="7"/>
  <c r="K405" i="7"/>
  <c r="K404" i="7"/>
  <c r="K403" i="7"/>
  <c r="K402" i="7"/>
  <c r="J402" i="7"/>
  <c r="K401" i="7"/>
  <c r="J401" i="7"/>
  <c r="J391" i="7" s="1"/>
  <c r="J390" i="7" s="1"/>
  <c r="K400" i="7"/>
  <c r="K399" i="7"/>
  <c r="K398" i="7"/>
  <c r="K397" i="7"/>
  <c r="K396" i="7"/>
  <c r="K395" i="7"/>
  <c r="K394" i="7"/>
  <c r="J394" i="7"/>
  <c r="K393" i="7"/>
  <c r="J393" i="7"/>
  <c r="J392" i="7"/>
  <c r="I392" i="7"/>
  <c r="I391" i="7"/>
  <c r="I390" i="7"/>
  <c r="K389" i="7"/>
  <c r="K388" i="7"/>
  <c r="K387" i="7"/>
  <c r="K386" i="7"/>
  <c r="K385" i="7"/>
  <c r="K384" i="7"/>
  <c r="K383" i="7"/>
  <c r="J383" i="7"/>
  <c r="J377" i="7" s="1"/>
  <c r="K382" i="7"/>
  <c r="J382" i="7"/>
  <c r="J376" i="7" s="1"/>
  <c r="J359" i="7" s="1"/>
  <c r="K381" i="7"/>
  <c r="K380" i="7"/>
  <c r="K379" i="7"/>
  <c r="K378" i="7"/>
  <c r="K375" i="7"/>
  <c r="K374" i="7"/>
  <c r="K373" i="7"/>
  <c r="K372" i="7"/>
  <c r="K371" i="7"/>
  <c r="K370" i="7"/>
  <c r="J369" i="7"/>
  <c r="J368" i="7"/>
  <c r="K367" i="7"/>
  <c r="K366" i="7"/>
  <c r="K365" i="7"/>
  <c r="K364" i="7"/>
  <c r="K363" i="7"/>
  <c r="K362" i="7"/>
  <c r="J361" i="7"/>
  <c r="I361" i="7"/>
  <c r="K361" i="7" s="1"/>
  <c r="J360" i="7"/>
  <c r="I360" i="7"/>
  <c r="K360" i="7" s="1"/>
  <c r="I359" i="7"/>
  <c r="I368" i="7" s="1"/>
  <c r="K368" i="7" s="1"/>
  <c r="M354" i="7"/>
  <c r="L354" i="7"/>
  <c r="L353" i="7"/>
  <c r="N351" i="7"/>
  <c r="J350" i="7"/>
  <c r="I347" i="7"/>
  <c r="K347" i="7" s="1"/>
  <c r="I346" i="7"/>
  <c r="K346" i="7" s="1"/>
  <c r="I345" i="7"/>
  <c r="J344" i="7"/>
  <c r="M334" i="7"/>
  <c r="L334" i="7"/>
  <c r="L333" i="7"/>
  <c r="N331" i="7"/>
  <c r="J330" i="7"/>
  <c r="I327" i="7"/>
  <c r="I326" i="7"/>
  <c r="K326" i="7" s="1"/>
  <c r="I324" i="7"/>
  <c r="K324" i="7" s="1"/>
  <c r="I323" i="7"/>
  <c r="K323" i="7" s="1"/>
  <c r="I322" i="7"/>
  <c r="K322" i="7" s="1"/>
  <c r="I321" i="7"/>
  <c r="I320" i="7"/>
  <c r="K320" i="7" s="1"/>
  <c r="I319" i="7"/>
  <c r="K319" i="7" s="1"/>
  <c r="I318" i="7"/>
  <c r="K318" i="7" s="1"/>
  <c r="I317" i="7"/>
  <c r="K317" i="7" s="1"/>
  <c r="I316" i="7"/>
  <c r="I315" i="7"/>
  <c r="K315" i="7" s="1"/>
  <c r="I314" i="7"/>
  <c r="K314" i="7" s="1"/>
  <c r="I313" i="7"/>
  <c r="K313" i="7" s="1"/>
  <c r="I312" i="7"/>
  <c r="M301" i="7"/>
  <c r="L301" i="7"/>
  <c r="N301" i="7" s="1"/>
  <c r="L300" i="7"/>
  <c r="M299" i="7"/>
  <c r="M296" i="7" s="1"/>
  <c r="N298" i="7"/>
  <c r="J296" i="7"/>
  <c r="I293" i="7"/>
  <c r="K293" i="7" s="1"/>
  <c r="I292" i="7"/>
  <c r="I291" i="7"/>
  <c r="I276" i="7" s="1"/>
  <c r="K276" i="7" s="1"/>
  <c r="M280" i="7"/>
  <c r="L280" i="7"/>
  <c r="N280" i="7" s="1"/>
  <c r="L279" i="7"/>
  <c r="M278" i="7"/>
  <c r="M275" i="7" s="1"/>
  <c r="N277" i="7"/>
  <c r="J276" i="7"/>
  <c r="J275" i="7"/>
  <c r="I272" i="7"/>
  <c r="K272" i="7" s="1"/>
  <c r="I271" i="7"/>
  <c r="K271" i="7" s="1"/>
  <c r="J270" i="7"/>
  <c r="J244" i="7" s="1"/>
  <c r="I268" i="7"/>
  <c r="K268" i="7" s="1"/>
  <c r="I266" i="7"/>
  <c r="K266" i="7" s="1"/>
  <c r="I264" i="7"/>
  <c r="J263" i="7"/>
  <c r="I263" i="7"/>
  <c r="K263" i="7" s="1"/>
  <c r="J262" i="7"/>
  <c r="I260" i="7"/>
  <c r="K260" i="7" s="1"/>
  <c r="J259" i="7"/>
  <c r="M249" i="7"/>
  <c r="L249" i="7"/>
  <c r="N249" i="7" s="1"/>
  <c r="L248" i="7"/>
  <c r="M247" i="7"/>
  <c r="M244" i="7" s="1"/>
  <c r="N246" i="7"/>
  <c r="J245" i="7"/>
  <c r="K241" i="7"/>
  <c r="J241" i="7"/>
  <c r="J240" i="7"/>
  <c r="J228" i="7" s="1"/>
  <c r="I240" i="7"/>
  <c r="K239" i="7"/>
  <c r="J239" i="7"/>
  <c r="J238" i="7"/>
  <c r="I238" i="7"/>
  <c r="K237" i="7"/>
  <c r="J237" i="7"/>
  <c r="J236" i="7"/>
  <c r="I236" i="7"/>
  <c r="I228" i="7" s="1"/>
  <c r="J235" i="7"/>
  <c r="I235" i="7"/>
  <c r="K234" i="7"/>
  <c r="J234" i="7"/>
  <c r="L232" i="7"/>
  <c r="N232" i="7" s="1"/>
  <c r="L231" i="7"/>
  <c r="M230" i="7"/>
  <c r="N229" i="7"/>
  <c r="M228" i="7"/>
  <c r="I224" i="7"/>
  <c r="I214" i="7" s="1"/>
  <c r="K214" i="7" s="1"/>
  <c r="L218" i="7"/>
  <c r="N218" i="7" s="1"/>
  <c r="N217" i="7"/>
  <c r="M216" i="7"/>
  <c r="N215" i="7"/>
  <c r="M214" i="7"/>
  <c r="J214" i="7"/>
  <c r="I211" i="7"/>
  <c r="K211" i="7" s="1"/>
  <c r="I209" i="7"/>
  <c r="I199" i="7" s="1"/>
  <c r="K199" i="7" s="1"/>
  <c r="L203" i="7"/>
  <c r="N203" i="7" s="1"/>
  <c r="N202" i="7"/>
  <c r="M201" i="7"/>
  <c r="N200" i="7"/>
  <c r="M199" i="7"/>
  <c r="J199" i="7"/>
  <c r="I195" i="7"/>
  <c r="K195" i="7" s="1"/>
  <c r="L189" i="7"/>
  <c r="N189" i="7" s="1"/>
  <c r="L188" i="7"/>
  <c r="N188" i="7" s="1"/>
  <c r="M187" i="7"/>
  <c r="N186" i="7"/>
  <c r="M185" i="7"/>
  <c r="J185" i="7"/>
  <c r="I182" i="7"/>
  <c r="K182" i="7" s="1"/>
  <c r="I181" i="7"/>
  <c r="K181" i="7" s="1"/>
  <c r="I180" i="7"/>
  <c r="I169" i="7" s="1"/>
  <c r="K169" i="7" s="1"/>
  <c r="I179" i="7"/>
  <c r="K179" i="7" s="1"/>
  <c r="L173" i="7"/>
  <c r="N173" i="7" s="1"/>
  <c r="L172" i="7"/>
  <c r="M171" i="7"/>
  <c r="N170" i="7"/>
  <c r="M169" i="7"/>
  <c r="J169" i="7"/>
  <c r="K164" i="7"/>
  <c r="K158" i="7"/>
  <c r="J158" i="7"/>
  <c r="I158" i="7"/>
  <c r="I155" i="7"/>
  <c r="J149" i="7"/>
  <c r="J144" i="7" s="1"/>
  <c r="L148" i="7"/>
  <c r="N148" i="7" s="1"/>
  <c r="N147" i="7"/>
  <c r="M146" i="7"/>
  <c r="M144" i="7" s="1"/>
  <c r="N145" i="7"/>
  <c r="L141" i="7"/>
  <c r="N141" i="7" s="1"/>
  <c r="I141" i="7"/>
  <c r="K141" i="7" s="1"/>
  <c r="L140" i="7"/>
  <c r="N140" i="7" s="1"/>
  <c r="I140" i="7"/>
  <c r="K140" i="7" s="1"/>
  <c r="L138" i="7"/>
  <c r="N138" i="7" s="1"/>
  <c r="I138" i="7"/>
  <c r="K138" i="7" s="1"/>
  <c r="L132" i="7"/>
  <c r="L131" i="7" s="1"/>
  <c r="N131" i="7" s="1"/>
  <c r="M131" i="7"/>
  <c r="M129" i="7" s="1"/>
  <c r="N130" i="7"/>
  <c r="J129" i="7"/>
  <c r="L126" i="7"/>
  <c r="N126" i="7" s="1"/>
  <c r="I126" i="7"/>
  <c r="K126" i="7" s="1"/>
  <c r="L125" i="7"/>
  <c r="N125" i="7" s="1"/>
  <c r="I125" i="7"/>
  <c r="I124" i="7"/>
  <c r="K124" i="7" s="1"/>
  <c r="L117" i="7"/>
  <c r="M116" i="7"/>
  <c r="N115" i="7"/>
  <c r="M114" i="7"/>
  <c r="J114" i="7"/>
  <c r="L111" i="7"/>
  <c r="N111" i="7" s="1"/>
  <c r="I111" i="7"/>
  <c r="K111" i="7" s="1"/>
  <c r="L110" i="7"/>
  <c r="N110" i="7" s="1"/>
  <c r="I110" i="7"/>
  <c r="K110" i="7" s="1"/>
  <c r="L104" i="7"/>
  <c r="M103" i="7"/>
  <c r="N102" i="7"/>
  <c r="M101" i="7"/>
  <c r="J101" i="7"/>
  <c r="L98" i="7"/>
  <c r="N98" i="7" s="1"/>
  <c r="I98" i="7"/>
  <c r="I89" i="7" s="1"/>
  <c r="L92" i="7"/>
  <c r="M91" i="7"/>
  <c r="N90" i="7"/>
  <c r="M89" i="7"/>
  <c r="J89" i="7"/>
  <c r="J84" i="7"/>
  <c r="I83" i="7"/>
  <c r="L77" i="7"/>
  <c r="N77" i="7" s="1"/>
  <c r="M76" i="7"/>
  <c r="N75" i="7"/>
  <c r="J74" i="7"/>
  <c r="M73" i="7"/>
  <c r="L72" i="7"/>
  <c r="N72" i="7" s="1"/>
  <c r="M71" i="7"/>
  <c r="M68" i="7" s="1"/>
  <c r="N70" i="7"/>
  <c r="J68" i="7"/>
  <c r="I62" i="7"/>
  <c r="L56" i="7"/>
  <c r="N56" i="7" s="1"/>
  <c r="L55" i="7"/>
  <c r="M54" i="7"/>
  <c r="N53" i="7"/>
  <c r="M52" i="7"/>
  <c r="J52" i="7"/>
  <c r="I48" i="7"/>
  <c r="K48" i="7" s="1"/>
  <c r="I47" i="7"/>
  <c r="K47" i="7" s="1"/>
  <c r="I46" i="7"/>
  <c r="K46" i="7" s="1"/>
  <c r="I45" i="7"/>
  <c r="K45" i="7" s="1"/>
  <c r="I44" i="7"/>
  <c r="I43" i="7"/>
  <c r="K43" i="7" s="1"/>
  <c r="L37" i="7"/>
  <c r="N37" i="7" s="1"/>
  <c r="L36" i="7"/>
  <c r="N36" i="7" s="1"/>
  <c r="M35" i="7"/>
  <c r="M32" i="7" s="1"/>
  <c r="L35" i="7"/>
  <c r="N35" i="7" s="1"/>
  <c r="N34" i="7"/>
  <c r="J33" i="7"/>
  <c r="J32" i="7"/>
  <c r="I28" i="7"/>
  <c r="K28" i="7" s="1"/>
  <c r="I27" i="7"/>
  <c r="K27" i="7" s="1"/>
  <c r="I26" i="7"/>
  <c r="K26" i="7" s="1"/>
  <c r="I25" i="7"/>
  <c r="K25" i="7" s="1"/>
  <c r="I24" i="7"/>
  <c r="K24" i="7" s="1"/>
  <c r="I23" i="7"/>
  <c r="K23" i="7" s="1"/>
  <c r="I22" i="7"/>
  <c r="J21" i="7"/>
  <c r="J20" i="7"/>
  <c r="J9" i="7" s="1"/>
  <c r="L14" i="7"/>
  <c r="N14" i="7" s="1"/>
  <c r="L13" i="7"/>
  <c r="N13" i="7" s="1"/>
  <c r="M12" i="7"/>
  <c r="L12" i="7"/>
  <c r="N12" i="7" s="1"/>
  <c r="N11" i="7"/>
  <c r="J10" i="7"/>
  <c r="M9" i="7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17" i="6"/>
  <c r="I517" i="6"/>
  <c r="J514" i="6"/>
  <c r="J513" i="6" s="1"/>
  <c r="I514" i="6"/>
  <c r="I513" i="6"/>
  <c r="J510" i="6"/>
  <c r="J504" i="6" s="1"/>
  <c r="I510" i="6"/>
  <c r="I504" i="6"/>
  <c r="K507" i="6" s="1"/>
  <c r="M494" i="6"/>
  <c r="L494" i="6"/>
  <c r="N494" i="6" s="1"/>
  <c r="L493" i="6"/>
  <c r="M492" i="6"/>
  <c r="N491" i="6"/>
  <c r="M490" i="6"/>
  <c r="J489" i="6"/>
  <c r="I489" i="6"/>
  <c r="K489" i="6" s="1"/>
  <c r="J488" i="6"/>
  <c r="J473" i="6" s="1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I473" i="6" s="1"/>
  <c r="K473" i="6" s="1"/>
  <c r="J483" i="6"/>
  <c r="I483" i="6"/>
  <c r="K483" i="6" s="1"/>
  <c r="J482" i="6"/>
  <c r="I482" i="6"/>
  <c r="K482" i="6" s="1"/>
  <c r="M477" i="6"/>
  <c r="M475" i="6" s="1"/>
  <c r="M473" i="6" s="1"/>
  <c r="L477" i="6"/>
  <c r="N477" i="6" s="1"/>
  <c r="L476" i="6"/>
  <c r="N474" i="6"/>
  <c r="K472" i="6"/>
  <c r="K471" i="6"/>
  <c r="K470" i="6"/>
  <c r="K469" i="6"/>
  <c r="K468" i="6"/>
  <c r="J466" i="6"/>
  <c r="I466" i="6"/>
  <c r="I457" i="6" s="1"/>
  <c r="K457" i="6" s="1"/>
  <c r="M461" i="6"/>
  <c r="L461" i="6"/>
  <c r="N461" i="6" s="1"/>
  <c r="L460" i="6"/>
  <c r="M459" i="6"/>
  <c r="N458" i="6"/>
  <c r="M457" i="6"/>
  <c r="J457" i="6"/>
  <c r="I456" i="6"/>
  <c r="K456" i="6" s="1"/>
  <c r="I455" i="6"/>
  <c r="K455" i="6" s="1"/>
  <c r="I454" i="6"/>
  <c r="K454" i="6" s="1"/>
  <c r="I453" i="6"/>
  <c r="M448" i="6"/>
  <c r="L448" i="6"/>
  <c r="L447" i="6"/>
  <c r="N447" i="6" s="1"/>
  <c r="M446" i="6"/>
  <c r="N445" i="6"/>
  <c r="M444" i="6"/>
  <c r="J444" i="6"/>
  <c r="I441" i="6"/>
  <c r="K441" i="6" s="1"/>
  <c r="I440" i="6"/>
  <c r="K440" i="6" s="1"/>
  <c r="M430" i="6"/>
  <c r="L430" i="6"/>
  <c r="N430" i="6" s="1"/>
  <c r="L429" i="6"/>
  <c r="M428" i="6"/>
  <c r="N427" i="6"/>
  <c r="M426" i="6"/>
  <c r="J426" i="6"/>
  <c r="J417" i="6"/>
  <c r="I419" i="6" s="1"/>
  <c r="J416" i="6"/>
  <c r="I418" i="6" s="1"/>
  <c r="J415" i="6"/>
  <c r="J414" i="6"/>
  <c r="J413" i="6"/>
  <c r="J412" i="6"/>
  <c r="I411" i="6"/>
  <c r="I410" i="6"/>
  <c r="I409" i="6"/>
  <c r="K408" i="6"/>
  <c r="K407" i="6"/>
  <c r="K406" i="6"/>
  <c r="K405" i="6"/>
  <c r="K404" i="6"/>
  <c r="K403" i="6"/>
  <c r="K402" i="6"/>
  <c r="J402" i="6"/>
  <c r="K401" i="6"/>
  <c r="J401" i="6"/>
  <c r="K400" i="6"/>
  <c r="K399" i="6"/>
  <c r="K398" i="6"/>
  <c r="K397" i="6"/>
  <c r="K396" i="6"/>
  <c r="K395" i="6"/>
  <c r="K394" i="6"/>
  <c r="J394" i="6"/>
  <c r="K393" i="6"/>
  <c r="J393" i="6"/>
  <c r="J392" i="6"/>
  <c r="I392" i="6"/>
  <c r="K392" i="6" s="1"/>
  <c r="J391" i="6"/>
  <c r="J390" i="6" s="1"/>
  <c r="I391" i="6"/>
  <c r="K391" i="6" s="1"/>
  <c r="I390" i="6"/>
  <c r="K389" i="6"/>
  <c r="K388" i="6"/>
  <c r="K387" i="6"/>
  <c r="K386" i="6"/>
  <c r="K385" i="6"/>
  <c r="K384" i="6"/>
  <c r="K383" i="6"/>
  <c r="J383" i="6"/>
  <c r="K382" i="6"/>
  <c r="J382" i="6"/>
  <c r="K381" i="6"/>
  <c r="K380" i="6"/>
  <c r="K379" i="6"/>
  <c r="K378" i="6"/>
  <c r="J377" i="6"/>
  <c r="K375" i="6"/>
  <c r="K374" i="6"/>
  <c r="K373" i="6"/>
  <c r="K372" i="6"/>
  <c r="K371" i="6"/>
  <c r="K370" i="6"/>
  <c r="J369" i="6"/>
  <c r="J368" i="6"/>
  <c r="K367" i="6"/>
  <c r="K366" i="6"/>
  <c r="K365" i="6"/>
  <c r="K364" i="6"/>
  <c r="K363" i="6"/>
  <c r="K362" i="6"/>
  <c r="J361" i="6"/>
  <c r="I361" i="6"/>
  <c r="K361" i="6" s="1"/>
  <c r="J360" i="6"/>
  <c r="I360" i="6"/>
  <c r="K360" i="6" s="1"/>
  <c r="I359" i="6"/>
  <c r="I376" i="6" s="1"/>
  <c r="M354" i="6"/>
  <c r="L354" i="6"/>
  <c r="L353" i="6"/>
  <c r="M352" i="6"/>
  <c r="M350" i="6" s="1"/>
  <c r="N351" i="6"/>
  <c r="I347" i="6"/>
  <c r="K347" i="6" s="1"/>
  <c r="I346" i="6"/>
  <c r="I345" i="6"/>
  <c r="J344" i="6"/>
  <c r="J330" i="6" s="1"/>
  <c r="M334" i="6"/>
  <c r="L334" i="6"/>
  <c r="N334" i="6" s="1"/>
  <c r="L333" i="6"/>
  <c r="M332" i="6"/>
  <c r="N331" i="6"/>
  <c r="M330" i="6"/>
  <c r="I327" i="6"/>
  <c r="I326" i="6"/>
  <c r="K326" i="6" s="1"/>
  <c r="I324" i="6"/>
  <c r="K324" i="6" s="1"/>
  <c r="I323" i="6"/>
  <c r="K323" i="6" s="1"/>
  <c r="I322" i="6"/>
  <c r="K322" i="6" s="1"/>
  <c r="I321" i="6"/>
  <c r="I320" i="6"/>
  <c r="K320" i="6" s="1"/>
  <c r="I319" i="6"/>
  <c r="K319" i="6" s="1"/>
  <c r="I318" i="6"/>
  <c r="K318" i="6" s="1"/>
  <c r="I317" i="6"/>
  <c r="I316" i="6"/>
  <c r="I315" i="6"/>
  <c r="I314" i="6"/>
  <c r="K314" i="6" s="1"/>
  <c r="I313" i="6"/>
  <c r="K313" i="6" s="1"/>
  <c r="I312" i="6"/>
  <c r="M301" i="6"/>
  <c r="L301" i="6"/>
  <c r="N301" i="6" s="1"/>
  <c r="L300" i="6"/>
  <c r="N300" i="6" s="1"/>
  <c r="M299" i="6"/>
  <c r="M296" i="6" s="1"/>
  <c r="N298" i="6"/>
  <c r="J296" i="6"/>
  <c r="I293" i="6"/>
  <c r="K293" i="6" s="1"/>
  <c r="I292" i="6"/>
  <c r="K292" i="6" s="1"/>
  <c r="I291" i="6"/>
  <c r="M280" i="6"/>
  <c r="L280" i="6"/>
  <c r="N280" i="6" s="1"/>
  <c r="L279" i="6"/>
  <c r="M278" i="6"/>
  <c r="M275" i="6" s="1"/>
  <c r="N277" i="6"/>
  <c r="J276" i="6"/>
  <c r="J275" i="6"/>
  <c r="I272" i="6"/>
  <c r="K272" i="6" s="1"/>
  <c r="I271" i="6"/>
  <c r="K271" i="6" s="1"/>
  <c r="J270" i="6"/>
  <c r="I268" i="6"/>
  <c r="K268" i="6" s="1"/>
  <c r="I266" i="6"/>
  <c r="K266" i="6" s="1"/>
  <c r="I264" i="6"/>
  <c r="K264" i="6" s="1"/>
  <c r="J263" i="6"/>
  <c r="J259" i="6" s="1"/>
  <c r="I263" i="6"/>
  <c r="I265" i="6" s="1"/>
  <c r="K265" i="6" s="1"/>
  <c r="J262" i="6"/>
  <c r="I260" i="6"/>
  <c r="K260" i="6" s="1"/>
  <c r="M249" i="6"/>
  <c r="L249" i="6"/>
  <c r="N249" i="6" s="1"/>
  <c r="L248" i="6"/>
  <c r="M247" i="6"/>
  <c r="M244" i="6" s="1"/>
  <c r="N246" i="6"/>
  <c r="J244" i="6"/>
  <c r="K241" i="6"/>
  <c r="J241" i="6"/>
  <c r="J240" i="6"/>
  <c r="J228" i="6" s="1"/>
  <c r="I240" i="6"/>
  <c r="K239" i="6"/>
  <c r="J239" i="6"/>
  <c r="J238" i="6"/>
  <c r="I238" i="6"/>
  <c r="K237" i="6"/>
  <c r="J237" i="6"/>
  <c r="J236" i="6"/>
  <c r="I236" i="6"/>
  <c r="J235" i="6"/>
  <c r="I235" i="6"/>
  <c r="K234" i="6"/>
  <c r="J234" i="6"/>
  <c r="L232" i="6"/>
  <c r="N232" i="6" s="1"/>
  <c r="L231" i="6"/>
  <c r="M230" i="6"/>
  <c r="N229" i="6"/>
  <c r="M228" i="6"/>
  <c r="I224" i="6"/>
  <c r="I214" i="6" s="1"/>
  <c r="K214" i="6" s="1"/>
  <c r="L218" i="6"/>
  <c r="N218" i="6" s="1"/>
  <c r="N217" i="6"/>
  <c r="M216" i="6"/>
  <c r="N215" i="6"/>
  <c r="M214" i="6"/>
  <c r="J214" i="6"/>
  <c r="I211" i="6"/>
  <c r="K211" i="6" s="1"/>
  <c r="I209" i="6"/>
  <c r="K209" i="6" s="1"/>
  <c r="L203" i="6"/>
  <c r="N202" i="6"/>
  <c r="M201" i="6"/>
  <c r="M199" i="6" s="1"/>
  <c r="N200" i="6"/>
  <c r="J199" i="6"/>
  <c r="I195" i="6"/>
  <c r="L189" i="6"/>
  <c r="N189" i="6" s="1"/>
  <c r="L188" i="6"/>
  <c r="M187" i="6"/>
  <c r="N186" i="6"/>
  <c r="M185" i="6"/>
  <c r="J185" i="6"/>
  <c r="I182" i="6"/>
  <c r="K182" i="6" s="1"/>
  <c r="I181" i="6"/>
  <c r="K181" i="6" s="1"/>
  <c r="I180" i="6"/>
  <c r="K180" i="6" s="1"/>
  <c r="I179" i="6"/>
  <c r="K179" i="6" s="1"/>
  <c r="L173" i="6"/>
  <c r="N173" i="6" s="1"/>
  <c r="L172" i="6"/>
  <c r="M171" i="6"/>
  <c r="M169" i="6" s="1"/>
  <c r="N170" i="6"/>
  <c r="J169" i="6"/>
  <c r="K164" i="6"/>
  <c r="K158" i="6"/>
  <c r="J158" i="6"/>
  <c r="I158" i="6"/>
  <c r="I155" i="6"/>
  <c r="J149" i="6"/>
  <c r="L148" i="6"/>
  <c r="N148" i="6" s="1"/>
  <c r="N147" i="6"/>
  <c r="M146" i="6"/>
  <c r="M144" i="6" s="1"/>
  <c r="N145" i="6"/>
  <c r="L141" i="6"/>
  <c r="N141" i="6" s="1"/>
  <c r="I141" i="6"/>
  <c r="K141" i="6" s="1"/>
  <c r="L140" i="6"/>
  <c r="N140" i="6" s="1"/>
  <c r="I140" i="6"/>
  <c r="K140" i="6" s="1"/>
  <c r="L138" i="6"/>
  <c r="N138" i="6" s="1"/>
  <c r="I138" i="6"/>
  <c r="K138" i="6" s="1"/>
  <c r="L132" i="6"/>
  <c r="M131" i="6"/>
  <c r="N130" i="6"/>
  <c r="M129" i="6"/>
  <c r="J129" i="6"/>
  <c r="L126" i="6"/>
  <c r="N126" i="6" s="1"/>
  <c r="I126" i="6"/>
  <c r="K126" i="6" s="1"/>
  <c r="L125" i="6"/>
  <c r="N125" i="6" s="1"/>
  <c r="I125" i="6"/>
  <c r="I124" i="6"/>
  <c r="K124" i="6" s="1"/>
  <c r="L117" i="6"/>
  <c r="M116" i="6"/>
  <c r="N115" i="6"/>
  <c r="M114" i="6"/>
  <c r="J114" i="6"/>
  <c r="L111" i="6"/>
  <c r="N111" i="6" s="1"/>
  <c r="I111" i="6"/>
  <c r="I101" i="6" s="1"/>
  <c r="K101" i="6" s="1"/>
  <c r="L110" i="6"/>
  <c r="N110" i="6" s="1"/>
  <c r="I110" i="6"/>
  <c r="K110" i="6" s="1"/>
  <c r="L104" i="6"/>
  <c r="M103" i="6"/>
  <c r="N102" i="6"/>
  <c r="M101" i="6"/>
  <c r="J101" i="6"/>
  <c r="L98" i="6"/>
  <c r="N98" i="6" s="1"/>
  <c r="I98" i="6"/>
  <c r="K98" i="6" s="1"/>
  <c r="L92" i="6"/>
  <c r="M91" i="6"/>
  <c r="N90" i="6"/>
  <c r="M89" i="6"/>
  <c r="J89" i="6"/>
  <c r="J84" i="6"/>
  <c r="I83" i="6"/>
  <c r="I74" i="6" s="1"/>
  <c r="L77" i="6"/>
  <c r="N77" i="6" s="1"/>
  <c r="M76" i="6"/>
  <c r="N75" i="6"/>
  <c r="M74" i="6"/>
  <c r="J74" i="6"/>
  <c r="M73" i="6"/>
  <c r="L72" i="6"/>
  <c r="N72" i="6" s="1"/>
  <c r="M71" i="6"/>
  <c r="N70" i="6"/>
  <c r="M68" i="6"/>
  <c r="J68" i="6"/>
  <c r="I62" i="6"/>
  <c r="L56" i="6"/>
  <c r="N56" i="6" s="1"/>
  <c r="L55" i="6"/>
  <c r="M54" i="6"/>
  <c r="N53" i="6"/>
  <c r="M52" i="6"/>
  <c r="J52" i="6"/>
  <c r="I48" i="6"/>
  <c r="I47" i="6"/>
  <c r="K47" i="6" s="1"/>
  <c r="I46" i="6"/>
  <c r="K46" i="6" s="1"/>
  <c r="I45" i="6"/>
  <c r="K45" i="6" s="1"/>
  <c r="I44" i="6"/>
  <c r="I43" i="6"/>
  <c r="K43" i="6" s="1"/>
  <c r="L37" i="6"/>
  <c r="N37" i="6" s="1"/>
  <c r="L36" i="6"/>
  <c r="N36" i="6" s="1"/>
  <c r="M35" i="6"/>
  <c r="M32" i="6" s="1"/>
  <c r="L35" i="6"/>
  <c r="N35" i="6" s="1"/>
  <c r="N34" i="6"/>
  <c r="J33" i="6"/>
  <c r="J32" i="6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J21" i="6"/>
  <c r="J10" i="6" s="1"/>
  <c r="J20" i="6"/>
  <c r="L14" i="6"/>
  <c r="N14" i="6" s="1"/>
  <c r="L13" i="6"/>
  <c r="N13" i="6" s="1"/>
  <c r="M12" i="6"/>
  <c r="L12" i="6"/>
  <c r="L9" i="6" s="1"/>
  <c r="N11" i="6"/>
  <c r="M9" i="6"/>
  <c r="J9" i="6"/>
  <c r="J528" i="5"/>
  <c r="I528" i="5"/>
  <c r="J527" i="5"/>
  <c r="I527" i="5"/>
  <c r="J526" i="5"/>
  <c r="I526" i="5"/>
  <c r="K526" i="5" s="1"/>
  <c r="J525" i="5"/>
  <c r="I525" i="5"/>
  <c r="K525" i="5" s="1"/>
  <c r="J524" i="5"/>
  <c r="I524" i="5"/>
  <c r="J523" i="5"/>
  <c r="I523" i="5"/>
  <c r="J522" i="5"/>
  <c r="I522" i="5"/>
  <c r="J521" i="5"/>
  <c r="I521" i="5"/>
  <c r="J517" i="5"/>
  <c r="I517" i="5"/>
  <c r="J514" i="5"/>
  <c r="J513" i="5" s="1"/>
  <c r="I514" i="5"/>
  <c r="I513" i="5"/>
  <c r="J510" i="5"/>
  <c r="I510" i="5"/>
  <c r="J504" i="5"/>
  <c r="I504" i="5"/>
  <c r="K512" i="5" s="1"/>
  <c r="M494" i="5"/>
  <c r="L494" i="5"/>
  <c r="L493" i="5"/>
  <c r="N493" i="5" s="1"/>
  <c r="M492" i="5"/>
  <c r="M490" i="5" s="1"/>
  <c r="N491" i="5"/>
  <c r="J489" i="5"/>
  <c r="I489" i="5"/>
  <c r="K489" i="5" s="1"/>
  <c r="J488" i="5"/>
  <c r="J473" i="5" s="1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K482" i="5" s="1"/>
  <c r="M477" i="5"/>
  <c r="L477" i="5"/>
  <c r="N477" i="5" s="1"/>
  <c r="L476" i="5"/>
  <c r="M475" i="5"/>
  <c r="N474" i="5"/>
  <c r="M473" i="5"/>
  <c r="K472" i="5"/>
  <c r="K471" i="5"/>
  <c r="K470" i="5"/>
  <c r="K469" i="5"/>
  <c r="K468" i="5"/>
  <c r="J466" i="5"/>
  <c r="I466" i="5"/>
  <c r="K466" i="5" s="1"/>
  <c r="M461" i="5"/>
  <c r="M459" i="5" s="1"/>
  <c r="M457" i="5" s="1"/>
  <c r="L461" i="5"/>
  <c r="N461" i="5" s="1"/>
  <c r="L460" i="5"/>
  <c r="N458" i="5"/>
  <c r="J457" i="5"/>
  <c r="I456" i="5"/>
  <c r="K456" i="5" s="1"/>
  <c r="I455" i="5"/>
  <c r="K455" i="5" s="1"/>
  <c r="I454" i="5"/>
  <c r="K454" i="5" s="1"/>
  <c r="I453" i="5"/>
  <c r="K453" i="5" s="1"/>
  <c r="M448" i="5"/>
  <c r="M446" i="5" s="1"/>
  <c r="M444" i="5" s="1"/>
  <c r="L448" i="5"/>
  <c r="N448" i="5" s="1"/>
  <c r="L447" i="5"/>
  <c r="N447" i="5" s="1"/>
  <c r="N445" i="5"/>
  <c r="J444" i="5"/>
  <c r="I441" i="5"/>
  <c r="K441" i="5" s="1"/>
  <c r="I440" i="5"/>
  <c r="K440" i="5" s="1"/>
  <c r="M430" i="5"/>
  <c r="L430" i="5"/>
  <c r="L429" i="5"/>
  <c r="N429" i="5" s="1"/>
  <c r="M428" i="5"/>
  <c r="N427" i="5"/>
  <c r="M426" i="5"/>
  <c r="J426" i="5"/>
  <c r="J417" i="5"/>
  <c r="I419" i="5" s="1"/>
  <c r="J416" i="5"/>
  <c r="I418" i="5" s="1"/>
  <c r="J415" i="5"/>
  <c r="J414" i="5"/>
  <c r="J413" i="5"/>
  <c r="J412" i="5"/>
  <c r="I411" i="5"/>
  <c r="I410" i="5"/>
  <c r="I409" i="5"/>
  <c r="K408" i="5"/>
  <c r="K407" i="5"/>
  <c r="K406" i="5"/>
  <c r="K405" i="5"/>
  <c r="K404" i="5"/>
  <c r="K403" i="5"/>
  <c r="K402" i="5"/>
  <c r="J402" i="5"/>
  <c r="J392" i="5" s="1"/>
  <c r="K401" i="5"/>
  <c r="J401" i="5"/>
  <c r="K400" i="5"/>
  <c r="K399" i="5"/>
  <c r="K398" i="5"/>
  <c r="K397" i="5"/>
  <c r="K396" i="5"/>
  <c r="K395" i="5"/>
  <c r="K394" i="5"/>
  <c r="J394" i="5"/>
  <c r="K393" i="5"/>
  <c r="J393" i="5"/>
  <c r="I392" i="5"/>
  <c r="K392" i="5" s="1"/>
  <c r="J391" i="5"/>
  <c r="I391" i="5"/>
  <c r="I390" i="5"/>
  <c r="K389" i="5"/>
  <c r="K388" i="5"/>
  <c r="K387" i="5"/>
  <c r="K386" i="5"/>
  <c r="K385" i="5"/>
  <c r="K384" i="5"/>
  <c r="K383" i="5"/>
  <c r="J383" i="5"/>
  <c r="J377" i="5" s="1"/>
  <c r="K382" i="5"/>
  <c r="J382" i="5"/>
  <c r="K381" i="5"/>
  <c r="K380" i="5"/>
  <c r="K379" i="5"/>
  <c r="K378" i="5"/>
  <c r="J376" i="5"/>
  <c r="J359" i="5" s="1"/>
  <c r="J350" i="5" s="1"/>
  <c r="K375" i="5"/>
  <c r="K374" i="5"/>
  <c r="K373" i="5"/>
  <c r="K372" i="5"/>
  <c r="K371" i="5"/>
  <c r="K370" i="5"/>
  <c r="J369" i="5"/>
  <c r="J368" i="5"/>
  <c r="K367" i="5"/>
  <c r="K366" i="5"/>
  <c r="K365" i="5"/>
  <c r="K364" i="5"/>
  <c r="K363" i="5"/>
  <c r="K362" i="5"/>
  <c r="J361" i="5"/>
  <c r="I361" i="5"/>
  <c r="I377" i="5" s="1"/>
  <c r="J360" i="5"/>
  <c r="I360" i="5"/>
  <c r="K360" i="5" s="1"/>
  <c r="I359" i="5"/>
  <c r="I376" i="5" s="1"/>
  <c r="K376" i="5" s="1"/>
  <c r="M354" i="5"/>
  <c r="M352" i="5" s="1"/>
  <c r="M350" i="5" s="1"/>
  <c r="L354" i="5"/>
  <c r="N354" i="5" s="1"/>
  <c r="L353" i="5"/>
  <c r="N351" i="5"/>
  <c r="I347" i="5"/>
  <c r="K347" i="5" s="1"/>
  <c r="I346" i="5"/>
  <c r="K346" i="5" s="1"/>
  <c r="I345" i="5"/>
  <c r="J344" i="5"/>
  <c r="M334" i="5"/>
  <c r="M332" i="5" s="1"/>
  <c r="M330" i="5" s="1"/>
  <c r="L334" i="5"/>
  <c r="N334" i="5" s="1"/>
  <c r="L333" i="5"/>
  <c r="N331" i="5"/>
  <c r="J330" i="5"/>
  <c r="I327" i="5"/>
  <c r="I326" i="5"/>
  <c r="K326" i="5" s="1"/>
  <c r="I324" i="5"/>
  <c r="I323" i="5"/>
  <c r="K323" i="5" s="1"/>
  <c r="I322" i="5"/>
  <c r="K322" i="5" s="1"/>
  <c r="I321" i="5"/>
  <c r="I320" i="5"/>
  <c r="K320" i="5" s="1"/>
  <c r="I319" i="5"/>
  <c r="K319" i="5" s="1"/>
  <c r="I318" i="5"/>
  <c r="K318" i="5" s="1"/>
  <c r="I317" i="5"/>
  <c r="K317" i="5" s="1"/>
  <c r="I316" i="5"/>
  <c r="I315" i="5"/>
  <c r="I314" i="5"/>
  <c r="K314" i="5" s="1"/>
  <c r="I313" i="5"/>
  <c r="K313" i="5" s="1"/>
  <c r="I312" i="5"/>
  <c r="M301" i="5"/>
  <c r="L301" i="5"/>
  <c r="L300" i="5"/>
  <c r="N300" i="5" s="1"/>
  <c r="M299" i="5"/>
  <c r="M296" i="5" s="1"/>
  <c r="N298" i="5"/>
  <c r="J296" i="5"/>
  <c r="I293" i="5"/>
  <c r="K293" i="5" s="1"/>
  <c r="I292" i="5"/>
  <c r="I291" i="5"/>
  <c r="M280" i="5"/>
  <c r="L280" i="5"/>
  <c r="L279" i="5"/>
  <c r="N279" i="5" s="1"/>
  <c r="M278" i="5"/>
  <c r="M275" i="5" s="1"/>
  <c r="N277" i="5"/>
  <c r="J276" i="5"/>
  <c r="J275" i="5"/>
  <c r="I272" i="5"/>
  <c r="K272" i="5" s="1"/>
  <c r="I271" i="5"/>
  <c r="K271" i="5" s="1"/>
  <c r="J270" i="5"/>
  <c r="J244" i="5" s="1"/>
  <c r="I268" i="5"/>
  <c r="K268" i="5" s="1"/>
  <c r="I266" i="5"/>
  <c r="K266" i="5" s="1"/>
  <c r="I264" i="5"/>
  <c r="J263" i="5"/>
  <c r="I263" i="5"/>
  <c r="K263" i="5" s="1"/>
  <c r="J262" i="5"/>
  <c r="I260" i="5"/>
  <c r="J259" i="5"/>
  <c r="M249" i="5"/>
  <c r="L249" i="5"/>
  <c r="L248" i="5"/>
  <c r="N248" i="5" s="1"/>
  <c r="M247" i="5"/>
  <c r="M244" i="5" s="1"/>
  <c r="N246" i="5"/>
  <c r="J245" i="5"/>
  <c r="K241" i="5"/>
  <c r="J241" i="5"/>
  <c r="J240" i="5"/>
  <c r="J228" i="5" s="1"/>
  <c r="I240" i="5"/>
  <c r="K239" i="5"/>
  <c r="J239" i="5"/>
  <c r="J238" i="5"/>
  <c r="I238" i="5"/>
  <c r="K237" i="5"/>
  <c r="J237" i="5"/>
  <c r="J236" i="5"/>
  <c r="I236" i="5"/>
  <c r="I228" i="5" s="1"/>
  <c r="J235" i="5"/>
  <c r="I235" i="5"/>
  <c r="K234" i="5"/>
  <c r="J234" i="5"/>
  <c r="L232" i="5"/>
  <c r="L231" i="5"/>
  <c r="N231" i="5" s="1"/>
  <c r="M230" i="5"/>
  <c r="M228" i="5" s="1"/>
  <c r="N229" i="5"/>
  <c r="I224" i="5"/>
  <c r="K224" i="5" s="1"/>
  <c r="L218" i="5"/>
  <c r="N218" i="5" s="1"/>
  <c r="N217" i="5"/>
  <c r="M216" i="5"/>
  <c r="N215" i="5"/>
  <c r="M214" i="5"/>
  <c r="J214" i="5"/>
  <c r="I211" i="5"/>
  <c r="K211" i="5" s="1"/>
  <c r="I209" i="5"/>
  <c r="L203" i="5"/>
  <c r="N203" i="5" s="1"/>
  <c r="N202" i="5"/>
  <c r="M201" i="5"/>
  <c r="N200" i="5"/>
  <c r="M199" i="5"/>
  <c r="J199" i="5"/>
  <c r="I195" i="5"/>
  <c r="K195" i="5" s="1"/>
  <c r="L189" i="5"/>
  <c r="L188" i="5"/>
  <c r="N188" i="5" s="1"/>
  <c r="M187" i="5"/>
  <c r="N186" i="5"/>
  <c r="M185" i="5"/>
  <c r="J185" i="5"/>
  <c r="I182" i="5"/>
  <c r="K182" i="5" s="1"/>
  <c r="I181" i="5"/>
  <c r="K181" i="5" s="1"/>
  <c r="I180" i="5"/>
  <c r="K180" i="5" s="1"/>
  <c r="I179" i="5"/>
  <c r="K179" i="5" s="1"/>
  <c r="L173" i="5"/>
  <c r="N173" i="5" s="1"/>
  <c r="L172" i="5"/>
  <c r="M171" i="5"/>
  <c r="N170" i="5"/>
  <c r="M169" i="5"/>
  <c r="J169" i="5"/>
  <c r="K164" i="5"/>
  <c r="K158" i="5"/>
  <c r="J158" i="5"/>
  <c r="I158" i="5"/>
  <c r="I155" i="5"/>
  <c r="J149" i="5"/>
  <c r="L148" i="5"/>
  <c r="N148" i="5" s="1"/>
  <c r="N147" i="5"/>
  <c r="M146" i="5"/>
  <c r="N145" i="5"/>
  <c r="M144" i="5"/>
  <c r="J144" i="5"/>
  <c r="L141" i="5"/>
  <c r="N141" i="5" s="1"/>
  <c r="I141" i="5"/>
  <c r="K141" i="5" s="1"/>
  <c r="L140" i="5"/>
  <c r="N140" i="5" s="1"/>
  <c r="I140" i="5"/>
  <c r="K140" i="5" s="1"/>
  <c r="L138" i="5"/>
  <c r="N138" i="5" s="1"/>
  <c r="I138" i="5"/>
  <c r="L132" i="5"/>
  <c r="L131" i="5" s="1"/>
  <c r="L129" i="5" s="1"/>
  <c r="M131" i="5"/>
  <c r="N130" i="5"/>
  <c r="J129" i="5"/>
  <c r="L126" i="5"/>
  <c r="N126" i="5" s="1"/>
  <c r="I126" i="5"/>
  <c r="K126" i="5" s="1"/>
  <c r="L125" i="5"/>
  <c r="N125" i="5" s="1"/>
  <c r="I125" i="5"/>
  <c r="I124" i="5"/>
  <c r="L117" i="5"/>
  <c r="M116" i="5"/>
  <c r="N115" i="5"/>
  <c r="M114" i="5"/>
  <c r="J114" i="5"/>
  <c r="L111" i="5"/>
  <c r="N111" i="5" s="1"/>
  <c r="I111" i="5"/>
  <c r="K111" i="5" s="1"/>
  <c r="L110" i="5"/>
  <c r="N110" i="5" s="1"/>
  <c r="I110" i="5"/>
  <c r="K110" i="5" s="1"/>
  <c r="L104" i="5"/>
  <c r="M103" i="5"/>
  <c r="N102" i="5"/>
  <c r="M101" i="5"/>
  <c r="J101" i="5"/>
  <c r="L98" i="5"/>
  <c r="N98" i="5" s="1"/>
  <c r="I98" i="5"/>
  <c r="K98" i="5" s="1"/>
  <c r="L92" i="5"/>
  <c r="M91" i="5"/>
  <c r="N90" i="5"/>
  <c r="M89" i="5"/>
  <c r="J89" i="5"/>
  <c r="J84" i="5"/>
  <c r="I83" i="5"/>
  <c r="K83" i="5" s="1"/>
  <c r="L77" i="5"/>
  <c r="N77" i="5" s="1"/>
  <c r="M76" i="5"/>
  <c r="N75" i="5"/>
  <c r="M74" i="5"/>
  <c r="J74" i="5"/>
  <c r="M73" i="5"/>
  <c r="L72" i="5"/>
  <c r="N72" i="5" s="1"/>
  <c r="M71" i="5"/>
  <c r="N70" i="5"/>
  <c r="M68" i="5"/>
  <c r="J68" i="5"/>
  <c r="I62" i="5"/>
  <c r="L56" i="5"/>
  <c r="N56" i="5" s="1"/>
  <c r="L55" i="5"/>
  <c r="M54" i="5"/>
  <c r="N53" i="5"/>
  <c r="M52" i="5"/>
  <c r="J52" i="5"/>
  <c r="I48" i="5"/>
  <c r="I47" i="5"/>
  <c r="K47" i="5" s="1"/>
  <c r="I46" i="5"/>
  <c r="K46" i="5" s="1"/>
  <c r="I45" i="5"/>
  <c r="I44" i="5"/>
  <c r="I43" i="5"/>
  <c r="K43" i="5" s="1"/>
  <c r="L37" i="5"/>
  <c r="N37" i="5" s="1"/>
  <c r="L36" i="5"/>
  <c r="N36" i="5" s="1"/>
  <c r="M35" i="5"/>
  <c r="L35" i="5"/>
  <c r="L32" i="5" s="1"/>
  <c r="N34" i="5"/>
  <c r="J33" i="5"/>
  <c r="J32" i="5"/>
  <c r="I28" i="5"/>
  <c r="K28" i="5" s="1"/>
  <c r="I27" i="5"/>
  <c r="K27" i="5" s="1"/>
  <c r="I26" i="5"/>
  <c r="K26" i="5" s="1"/>
  <c r="I25" i="5"/>
  <c r="K25" i="5" s="1"/>
  <c r="I24" i="5"/>
  <c r="K24" i="5" s="1"/>
  <c r="I23" i="5"/>
  <c r="I22" i="5"/>
  <c r="K22" i="5" s="1"/>
  <c r="J21" i="5"/>
  <c r="J10" i="5" s="1"/>
  <c r="J20" i="5"/>
  <c r="L14" i="5"/>
  <c r="N14" i="5" s="1"/>
  <c r="L13" i="5"/>
  <c r="N13" i="5" s="1"/>
  <c r="M12" i="5"/>
  <c r="L12" i="5"/>
  <c r="N11" i="5"/>
  <c r="M9" i="5"/>
  <c r="J9" i="5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17" i="4"/>
  <c r="I517" i="4"/>
  <c r="J514" i="4"/>
  <c r="J513" i="4" s="1"/>
  <c r="I514" i="4"/>
  <c r="I513" i="4"/>
  <c r="J510" i="4"/>
  <c r="I510" i="4"/>
  <c r="J504" i="4"/>
  <c r="I504" i="4"/>
  <c r="K512" i="4" s="1"/>
  <c r="M494" i="4"/>
  <c r="M494" i="1" s="1"/>
  <c r="L494" i="4"/>
  <c r="L493" i="4"/>
  <c r="N493" i="4" s="1"/>
  <c r="M492" i="4"/>
  <c r="M490" i="4" s="1"/>
  <c r="N491" i="4"/>
  <c r="J489" i="4"/>
  <c r="I489" i="4"/>
  <c r="K489" i="4" s="1"/>
  <c r="J488" i="4"/>
  <c r="J473" i="4" s="1"/>
  <c r="I488" i="4"/>
  <c r="K488" i="4" s="1"/>
  <c r="J487" i="4"/>
  <c r="I487" i="4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K482" i="4" s="1"/>
  <c r="M477" i="4"/>
  <c r="L477" i="4"/>
  <c r="N477" i="4" s="1"/>
  <c r="L476" i="4"/>
  <c r="M475" i="4"/>
  <c r="N474" i="4"/>
  <c r="M473" i="4"/>
  <c r="K472" i="4"/>
  <c r="K471" i="4"/>
  <c r="K470" i="4"/>
  <c r="K469" i="4"/>
  <c r="K468" i="4"/>
  <c r="J466" i="4"/>
  <c r="I466" i="4"/>
  <c r="K466" i="4" s="1"/>
  <c r="M461" i="4"/>
  <c r="M459" i="4" s="1"/>
  <c r="M457" i="4" s="1"/>
  <c r="L461" i="4"/>
  <c r="N461" i="4" s="1"/>
  <c r="L460" i="4"/>
  <c r="N458" i="4"/>
  <c r="J457" i="4"/>
  <c r="I456" i="4"/>
  <c r="K456" i="4" s="1"/>
  <c r="I455" i="4"/>
  <c r="K455" i="4" s="1"/>
  <c r="I454" i="4"/>
  <c r="K454" i="4" s="1"/>
  <c r="I453" i="4"/>
  <c r="K453" i="4" s="1"/>
  <c r="M448" i="4"/>
  <c r="M446" i="4" s="1"/>
  <c r="M444" i="4" s="1"/>
  <c r="L448" i="4"/>
  <c r="N448" i="4" s="1"/>
  <c r="L447" i="4"/>
  <c r="N447" i="4" s="1"/>
  <c r="N445" i="4"/>
  <c r="J444" i="4"/>
  <c r="I441" i="4"/>
  <c r="I440" i="4"/>
  <c r="K440" i="4" s="1"/>
  <c r="M430" i="4"/>
  <c r="M430" i="1" s="1"/>
  <c r="L430" i="4"/>
  <c r="L429" i="4"/>
  <c r="N429" i="4" s="1"/>
  <c r="M428" i="4"/>
  <c r="N427" i="4"/>
  <c r="M426" i="4"/>
  <c r="J426" i="4"/>
  <c r="J426" i="1" s="1"/>
  <c r="J417" i="4"/>
  <c r="I419" i="4" s="1"/>
  <c r="J416" i="4"/>
  <c r="J415" i="4"/>
  <c r="J414" i="4"/>
  <c r="J413" i="4"/>
  <c r="J412" i="4"/>
  <c r="I411" i="4"/>
  <c r="I410" i="4"/>
  <c r="I409" i="4"/>
  <c r="K408" i="4"/>
  <c r="K407" i="4"/>
  <c r="K406" i="4"/>
  <c r="K405" i="4"/>
  <c r="K404" i="4"/>
  <c r="K403" i="4"/>
  <c r="K402" i="4"/>
  <c r="J402" i="4"/>
  <c r="J392" i="4" s="1"/>
  <c r="K401" i="4"/>
  <c r="J401" i="4"/>
  <c r="K400" i="4"/>
  <c r="K399" i="4"/>
  <c r="K398" i="4"/>
  <c r="K397" i="4"/>
  <c r="K396" i="4"/>
  <c r="K395" i="4"/>
  <c r="K394" i="4"/>
  <c r="J394" i="4"/>
  <c r="K393" i="4"/>
  <c r="J393" i="4"/>
  <c r="J393" i="1" s="1"/>
  <c r="I392" i="4"/>
  <c r="K392" i="4" s="1"/>
  <c r="J391" i="4"/>
  <c r="I391" i="4"/>
  <c r="I390" i="4"/>
  <c r="K389" i="4"/>
  <c r="K388" i="4"/>
  <c r="K387" i="4"/>
  <c r="K386" i="4"/>
  <c r="K385" i="4"/>
  <c r="K384" i="4"/>
  <c r="K383" i="4"/>
  <c r="J383" i="4"/>
  <c r="J377" i="4" s="1"/>
  <c r="K382" i="4"/>
  <c r="J382" i="4"/>
  <c r="K381" i="4"/>
  <c r="K380" i="4"/>
  <c r="K379" i="4"/>
  <c r="K378" i="4"/>
  <c r="J376" i="4"/>
  <c r="J359" i="4" s="1"/>
  <c r="J350" i="4" s="1"/>
  <c r="K375" i="4"/>
  <c r="K374" i="4"/>
  <c r="K373" i="4"/>
  <c r="K372" i="4"/>
  <c r="K371" i="4"/>
  <c r="K370" i="4"/>
  <c r="J369" i="4"/>
  <c r="J368" i="4"/>
  <c r="J368" i="1" s="1"/>
  <c r="K367" i="4"/>
  <c r="K366" i="4"/>
  <c r="K365" i="4"/>
  <c r="K364" i="4"/>
  <c r="K363" i="4"/>
  <c r="K362" i="4"/>
  <c r="J361" i="4"/>
  <c r="I361" i="4"/>
  <c r="I377" i="4" s="1"/>
  <c r="J360" i="4"/>
  <c r="I360" i="4"/>
  <c r="I359" i="4"/>
  <c r="M354" i="4"/>
  <c r="M352" i="4" s="1"/>
  <c r="M350" i="4" s="1"/>
  <c r="L354" i="4"/>
  <c r="N354" i="4" s="1"/>
  <c r="L353" i="4"/>
  <c r="N353" i="4" s="1"/>
  <c r="N351" i="4"/>
  <c r="I347" i="4"/>
  <c r="K347" i="4" s="1"/>
  <c r="I346" i="4"/>
  <c r="K346" i="4" s="1"/>
  <c r="I345" i="4"/>
  <c r="J344" i="4"/>
  <c r="M334" i="4"/>
  <c r="M332" i="4" s="1"/>
  <c r="M330" i="4" s="1"/>
  <c r="L334" i="4"/>
  <c r="N334" i="4" s="1"/>
  <c r="L333" i="4"/>
  <c r="N331" i="4"/>
  <c r="J330" i="4"/>
  <c r="I327" i="4"/>
  <c r="I326" i="4"/>
  <c r="K326" i="4" s="1"/>
  <c r="I324" i="4"/>
  <c r="I323" i="4"/>
  <c r="K323" i="4" s="1"/>
  <c r="I322" i="4"/>
  <c r="I321" i="4"/>
  <c r="I320" i="4"/>
  <c r="K320" i="4" s="1"/>
  <c r="I319" i="4"/>
  <c r="K319" i="4" s="1"/>
  <c r="I318" i="4"/>
  <c r="K318" i="4" s="1"/>
  <c r="I317" i="4"/>
  <c r="K317" i="4" s="1"/>
  <c r="I316" i="4"/>
  <c r="I315" i="4"/>
  <c r="I314" i="4"/>
  <c r="K314" i="4" s="1"/>
  <c r="I313" i="4"/>
  <c r="K313" i="4" s="1"/>
  <c r="I312" i="4"/>
  <c r="M301" i="4"/>
  <c r="L301" i="4"/>
  <c r="L300" i="4"/>
  <c r="N300" i="4" s="1"/>
  <c r="M299" i="4"/>
  <c r="N298" i="4"/>
  <c r="M296" i="4"/>
  <c r="J296" i="4"/>
  <c r="I293" i="4"/>
  <c r="K293" i="4" s="1"/>
  <c r="I292" i="4"/>
  <c r="K292" i="4" s="1"/>
  <c r="I291" i="4"/>
  <c r="M280" i="4"/>
  <c r="M278" i="4" s="1"/>
  <c r="L280" i="4"/>
  <c r="L279" i="4"/>
  <c r="N279" i="4" s="1"/>
  <c r="N277" i="4"/>
  <c r="J276" i="4"/>
  <c r="J275" i="4"/>
  <c r="I272" i="4"/>
  <c r="K272" i="4" s="1"/>
  <c r="I271" i="4"/>
  <c r="J270" i="4"/>
  <c r="J244" i="4" s="1"/>
  <c r="I268" i="4"/>
  <c r="K268" i="4" s="1"/>
  <c r="I266" i="4"/>
  <c r="K266" i="4" s="1"/>
  <c r="I264" i="4"/>
  <c r="K264" i="4" s="1"/>
  <c r="J263" i="4"/>
  <c r="I263" i="4"/>
  <c r="J262" i="4"/>
  <c r="I260" i="4"/>
  <c r="K260" i="4" s="1"/>
  <c r="J259" i="4"/>
  <c r="M249" i="4"/>
  <c r="M247" i="4" s="1"/>
  <c r="L249" i="4"/>
  <c r="L248" i="4"/>
  <c r="N248" i="4" s="1"/>
  <c r="N246" i="4"/>
  <c r="J245" i="4"/>
  <c r="K241" i="4"/>
  <c r="J241" i="4"/>
  <c r="J240" i="4"/>
  <c r="J228" i="4" s="1"/>
  <c r="I240" i="4"/>
  <c r="K239" i="4"/>
  <c r="J239" i="4"/>
  <c r="J238" i="4"/>
  <c r="I238" i="4"/>
  <c r="K237" i="4"/>
  <c r="J237" i="4"/>
  <c r="J236" i="4"/>
  <c r="I236" i="4"/>
  <c r="J235" i="4"/>
  <c r="I235" i="4"/>
  <c r="K234" i="4"/>
  <c r="J234" i="4"/>
  <c r="L232" i="4"/>
  <c r="L231" i="4"/>
  <c r="N231" i="4" s="1"/>
  <c r="M230" i="4"/>
  <c r="M228" i="4" s="1"/>
  <c r="N229" i="4"/>
  <c r="I224" i="4"/>
  <c r="I214" i="4" s="1"/>
  <c r="K214" i="4" s="1"/>
  <c r="L218" i="4"/>
  <c r="N218" i="4" s="1"/>
  <c r="N217" i="4"/>
  <c r="M216" i="4"/>
  <c r="M214" i="4" s="1"/>
  <c r="M214" i="1" s="1"/>
  <c r="N215" i="4"/>
  <c r="J214" i="4"/>
  <c r="I211" i="4"/>
  <c r="K211" i="4" s="1"/>
  <c r="I209" i="4"/>
  <c r="K209" i="4" s="1"/>
  <c r="N203" i="4"/>
  <c r="L203" i="4"/>
  <c r="N202" i="4"/>
  <c r="M201" i="4"/>
  <c r="N200" i="4"/>
  <c r="M199" i="4"/>
  <c r="J199" i="4"/>
  <c r="I195" i="4"/>
  <c r="K195" i="4" s="1"/>
  <c r="L189" i="4"/>
  <c r="L188" i="4"/>
  <c r="N188" i="4" s="1"/>
  <c r="M187" i="4"/>
  <c r="M185" i="4" s="1"/>
  <c r="N186" i="4"/>
  <c r="J185" i="4"/>
  <c r="I182" i="4"/>
  <c r="K182" i="4" s="1"/>
  <c r="I181" i="4"/>
  <c r="K181" i="4" s="1"/>
  <c r="I180" i="4"/>
  <c r="I179" i="4"/>
  <c r="K179" i="4" s="1"/>
  <c r="L173" i="4"/>
  <c r="N173" i="4" s="1"/>
  <c r="L172" i="4"/>
  <c r="N172" i="4" s="1"/>
  <c r="M171" i="4"/>
  <c r="N170" i="4"/>
  <c r="M169" i="4"/>
  <c r="J169" i="4"/>
  <c r="K164" i="4"/>
  <c r="K158" i="4"/>
  <c r="J158" i="4"/>
  <c r="I158" i="4"/>
  <c r="I155" i="4"/>
  <c r="J149" i="4"/>
  <c r="L148" i="4"/>
  <c r="N147" i="4"/>
  <c r="M146" i="4"/>
  <c r="N145" i="4"/>
  <c r="M144" i="4"/>
  <c r="J144" i="4"/>
  <c r="L141" i="4"/>
  <c r="N141" i="4" s="1"/>
  <c r="I141" i="4"/>
  <c r="K141" i="4" s="1"/>
  <c r="L140" i="4"/>
  <c r="N140" i="4" s="1"/>
  <c r="I140" i="4"/>
  <c r="K140" i="4" s="1"/>
  <c r="N139" i="4"/>
  <c r="N138" i="4"/>
  <c r="I138" i="4"/>
  <c r="M137" i="4"/>
  <c r="L137" i="4"/>
  <c r="N137" i="4" s="1"/>
  <c r="L132" i="4"/>
  <c r="N132" i="4" s="1"/>
  <c r="M131" i="4"/>
  <c r="N130" i="4"/>
  <c r="M129" i="4"/>
  <c r="J129" i="4"/>
  <c r="L126" i="4"/>
  <c r="N126" i="4" s="1"/>
  <c r="I126" i="4"/>
  <c r="L125" i="4"/>
  <c r="N125" i="4" s="1"/>
  <c r="I125" i="4"/>
  <c r="I124" i="4"/>
  <c r="K124" i="4" s="1"/>
  <c r="L117" i="4"/>
  <c r="M116" i="4"/>
  <c r="N115" i="4"/>
  <c r="M114" i="4"/>
  <c r="J114" i="4"/>
  <c r="L111" i="4"/>
  <c r="N111" i="4" s="1"/>
  <c r="I111" i="4"/>
  <c r="I101" i="4" s="1"/>
  <c r="K101" i="4" s="1"/>
  <c r="L110" i="4"/>
  <c r="N110" i="4" s="1"/>
  <c r="I110" i="4"/>
  <c r="K110" i="4" s="1"/>
  <c r="L104" i="4"/>
  <c r="M103" i="4"/>
  <c r="N102" i="4"/>
  <c r="M101" i="4"/>
  <c r="J101" i="4"/>
  <c r="L98" i="4"/>
  <c r="N98" i="4" s="1"/>
  <c r="I98" i="4"/>
  <c r="I89" i="4" s="1"/>
  <c r="K89" i="4" s="1"/>
  <c r="L92" i="4"/>
  <c r="M91" i="4"/>
  <c r="N90" i="4"/>
  <c r="M89" i="4"/>
  <c r="J89" i="4"/>
  <c r="J84" i="4"/>
  <c r="I83" i="4"/>
  <c r="K83" i="4" s="1"/>
  <c r="L77" i="4"/>
  <c r="N77" i="4" s="1"/>
  <c r="M76" i="4"/>
  <c r="N75" i="4"/>
  <c r="M74" i="4"/>
  <c r="J74" i="4"/>
  <c r="M73" i="4"/>
  <c r="L72" i="4"/>
  <c r="M71" i="4"/>
  <c r="N70" i="4"/>
  <c r="M68" i="4"/>
  <c r="J68" i="4"/>
  <c r="I62" i="4"/>
  <c r="L56" i="4"/>
  <c r="N56" i="4" s="1"/>
  <c r="L55" i="4"/>
  <c r="M54" i="4"/>
  <c r="N53" i="4"/>
  <c r="M52" i="4"/>
  <c r="J52" i="4"/>
  <c r="I48" i="4"/>
  <c r="K48" i="4" s="1"/>
  <c r="I47" i="4"/>
  <c r="K47" i="4" s="1"/>
  <c r="I46" i="4"/>
  <c r="K46" i="4" s="1"/>
  <c r="I45" i="4"/>
  <c r="K45" i="4" s="1"/>
  <c r="I44" i="4"/>
  <c r="I43" i="4"/>
  <c r="K43" i="4" s="1"/>
  <c r="L37" i="4"/>
  <c r="N37" i="4" s="1"/>
  <c r="L36" i="4"/>
  <c r="N36" i="4" s="1"/>
  <c r="M35" i="4"/>
  <c r="M32" i="4" s="1"/>
  <c r="L35" i="4"/>
  <c r="L32" i="4" s="1"/>
  <c r="N34" i="4"/>
  <c r="J33" i="4"/>
  <c r="J32" i="4"/>
  <c r="I28" i="4"/>
  <c r="K28" i="4" s="1"/>
  <c r="I27" i="4"/>
  <c r="K27" i="4" s="1"/>
  <c r="I26" i="4"/>
  <c r="K26" i="4" s="1"/>
  <c r="I25" i="4"/>
  <c r="I24" i="4"/>
  <c r="K24" i="4" s="1"/>
  <c r="I23" i="4"/>
  <c r="K23" i="4" s="1"/>
  <c r="I22" i="4"/>
  <c r="J21" i="4"/>
  <c r="J20" i="4"/>
  <c r="J9" i="4" s="1"/>
  <c r="L14" i="4"/>
  <c r="N14" i="4" s="1"/>
  <c r="L13" i="4"/>
  <c r="N13" i="4" s="1"/>
  <c r="M12" i="4"/>
  <c r="M9" i="4" s="1"/>
  <c r="M6" i="4" s="1"/>
  <c r="L12" i="4"/>
  <c r="L9" i="4" s="1"/>
  <c r="N11" i="4"/>
  <c r="J10" i="4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17" i="3"/>
  <c r="I517" i="3"/>
  <c r="J514" i="3"/>
  <c r="J513" i="3" s="1"/>
  <c r="I514" i="3"/>
  <c r="I513" i="3"/>
  <c r="J510" i="3"/>
  <c r="I510" i="3"/>
  <c r="J504" i="3"/>
  <c r="J490" i="3" s="1"/>
  <c r="I504" i="3"/>
  <c r="K507" i="3" s="1"/>
  <c r="M494" i="3"/>
  <c r="L494" i="3"/>
  <c r="N494" i="3" s="1"/>
  <c r="L493" i="3"/>
  <c r="M492" i="3"/>
  <c r="M490" i="3" s="1"/>
  <c r="N491" i="3"/>
  <c r="J489" i="3"/>
  <c r="I489" i="3"/>
  <c r="K489" i="3" s="1"/>
  <c r="J488" i="3"/>
  <c r="J473" i="3" s="1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I473" i="3" s="1"/>
  <c r="K473" i="3" s="1"/>
  <c r="J483" i="3"/>
  <c r="I483" i="3"/>
  <c r="K483" i="3" s="1"/>
  <c r="J482" i="3"/>
  <c r="I482" i="3"/>
  <c r="K482" i="3" s="1"/>
  <c r="M477" i="3"/>
  <c r="M475" i="3" s="1"/>
  <c r="L477" i="3"/>
  <c r="N477" i="3" s="1"/>
  <c r="L476" i="3"/>
  <c r="N474" i="3"/>
  <c r="K472" i="3"/>
  <c r="K471" i="3"/>
  <c r="K470" i="3"/>
  <c r="K469" i="3"/>
  <c r="K468" i="3"/>
  <c r="J466" i="3"/>
  <c r="I466" i="3"/>
  <c r="K466" i="3" s="1"/>
  <c r="M461" i="3"/>
  <c r="M459" i="3" s="1"/>
  <c r="M457" i="3" s="1"/>
  <c r="L461" i="3"/>
  <c r="L460" i="3"/>
  <c r="N458" i="3"/>
  <c r="J457" i="3"/>
  <c r="I456" i="3"/>
  <c r="K456" i="3" s="1"/>
  <c r="I455" i="3"/>
  <c r="K455" i="3" s="1"/>
  <c r="I454" i="3"/>
  <c r="K454" i="3" s="1"/>
  <c r="I453" i="3"/>
  <c r="K453" i="3" s="1"/>
  <c r="M448" i="3"/>
  <c r="L448" i="3"/>
  <c r="L447" i="3"/>
  <c r="N447" i="3" s="1"/>
  <c r="M446" i="3"/>
  <c r="M444" i="3" s="1"/>
  <c r="N445" i="3"/>
  <c r="J444" i="3"/>
  <c r="J444" i="1" s="1"/>
  <c r="I441" i="3"/>
  <c r="K441" i="3" s="1"/>
  <c r="I440" i="3"/>
  <c r="K440" i="3" s="1"/>
  <c r="M430" i="3"/>
  <c r="L430" i="3"/>
  <c r="L429" i="3"/>
  <c r="N429" i="3" s="1"/>
  <c r="M428" i="3"/>
  <c r="N427" i="3"/>
  <c r="M426" i="3"/>
  <c r="J426" i="3"/>
  <c r="J417" i="3"/>
  <c r="I419" i="3" s="1"/>
  <c r="J416" i="3"/>
  <c r="I418" i="3" s="1"/>
  <c r="J415" i="3"/>
  <c r="J414" i="3"/>
  <c r="J413" i="3"/>
  <c r="J412" i="3"/>
  <c r="I411" i="3"/>
  <c r="I410" i="3"/>
  <c r="I409" i="3"/>
  <c r="K408" i="3"/>
  <c r="K407" i="3"/>
  <c r="K406" i="3"/>
  <c r="K405" i="3"/>
  <c r="K404" i="3"/>
  <c r="K403" i="3"/>
  <c r="K402" i="3"/>
  <c r="J402" i="3"/>
  <c r="K401" i="3"/>
  <c r="J401" i="3"/>
  <c r="J391" i="3" s="1"/>
  <c r="J390" i="3" s="1"/>
  <c r="K400" i="3"/>
  <c r="K399" i="3"/>
  <c r="K398" i="3"/>
  <c r="K397" i="3"/>
  <c r="K396" i="3"/>
  <c r="K395" i="3"/>
  <c r="K394" i="3"/>
  <c r="J394" i="3"/>
  <c r="K393" i="3"/>
  <c r="J393" i="3"/>
  <c r="J392" i="3"/>
  <c r="I392" i="3"/>
  <c r="I391" i="3"/>
  <c r="I390" i="3"/>
  <c r="K389" i="3"/>
  <c r="K388" i="3"/>
  <c r="K387" i="3"/>
  <c r="K386" i="3"/>
  <c r="K385" i="3"/>
  <c r="K384" i="3"/>
  <c r="K383" i="3"/>
  <c r="J383" i="3"/>
  <c r="J377" i="3" s="1"/>
  <c r="K382" i="3"/>
  <c r="J382" i="3"/>
  <c r="J376" i="3" s="1"/>
  <c r="J359" i="3" s="1"/>
  <c r="K381" i="3"/>
  <c r="K380" i="3"/>
  <c r="K379" i="3"/>
  <c r="K378" i="3"/>
  <c r="K375" i="3"/>
  <c r="K374" i="3"/>
  <c r="K373" i="3"/>
  <c r="K372" i="3"/>
  <c r="K371" i="3"/>
  <c r="K370" i="3"/>
  <c r="J369" i="3"/>
  <c r="J368" i="3"/>
  <c r="K367" i="3"/>
  <c r="K366" i="3"/>
  <c r="K365" i="3"/>
  <c r="K364" i="3"/>
  <c r="K363" i="3"/>
  <c r="K362" i="3"/>
  <c r="J361" i="3"/>
  <c r="I361" i="3"/>
  <c r="K361" i="3" s="1"/>
  <c r="J360" i="3"/>
  <c r="I360" i="3"/>
  <c r="K360" i="3" s="1"/>
  <c r="I359" i="3"/>
  <c r="I376" i="3" s="1"/>
  <c r="K376" i="3" s="1"/>
  <c r="M354" i="3"/>
  <c r="M352" i="3" s="1"/>
  <c r="M350" i="3" s="1"/>
  <c r="L354" i="3"/>
  <c r="N354" i="3" s="1"/>
  <c r="L353" i="3"/>
  <c r="N351" i="3"/>
  <c r="J350" i="3"/>
  <c r="I347" i="3"/>
  <c r="K347" i="3" s="1"/>
  <c r="I346" i="3"/>
  <c r="K346" i="3" s="1"/>
  <c r="I345" i="3"/>
  <c r="J344" i="3"/>
  <c r="M334" i="3"/>
  <c r="M332" i="3" s="1"/>
  <c r="M330" i="3" s="1"/>
  <c r="L334" i="3"/>
  <c r="N334" i="3" s="1"/>
  <c r="L333" i="3"/>
  <c r="N331" i="3"/>
  <c r="J330" i="3"/>
  <c r="I327" i="3"/>
  <c r="K327" i="3" s="1"/>
  <c r="I326" i="3"/>
  <c r="I324" i="3"/>
  <c r="I323" i="3"/>
  <c r="I322" i="3"/>
  <c r="K322" i="3" s="1"/>
  <c r="I321" i="3"/>
  <c r="I320" i="3"/>
  <c r="I319" i="3"/>
  <c r="K319" i="3" s="1"/>
  <c r="I318" i="3"/>
  <c r="K318" i="3" s="1"/>
  <c r="I317" i="3"/>
  <c r="K317" i="3" s="1"/>
  <c r="I316" i="3"/>
  <c r="I315" i="3"/>
  <c r="I314" i="3"/>
  <c r="I313" i="3"/>
  <c r="K313" i="3" s="1"/>
  <c r="I312" i="3"/>
  <c r="M301" i="3"/>
  <c r="L301" i="3"/>
  <c r="N301" i="3" s="1"/>
  <c r="L300" i="3"/>
  <c r="M299" i="3"/>
  <c r="M296" i="3" s="1"/>
  <c r="N298" i="3"/>
  <c r="J296" i="3"/>
  <c r="I293" i="3"/>
  <c r="K293" i="3" s="1"/>
  <c r="I292" i="3"/>
  <c r="I291" i="3"/>
  <c r="M280" i="3"/>
  <c r="L280" i="3"/>
  <c r="N280" i="3" s="1"/>
  <c r="L279" i="3"/>
  <c r="M278" i="3"/>
  <c r="M275" i="3" s="1"/>
  <c r="N277" i="3"/>
  <c r="J276" i="3"/>
  <c r="J275" i="3"/>
  <c r="I272" i="3"/>
  <c r="I271" i="3"/>
  <c r="J270" i="3"/>
  <c r="J244" i="3" s="1"/>
  <c r="I268" i="3"/>
  <c r="K268" i="3" s="1"/>
  <c r="I266" i="3"/>
  <c r="K266" i="3" s="1"/>
  <c r="I264" i="3"/>
  <c r="J263" i="3"/>
  <c r="I263" i="3"/>
  <c r="J262" i="3"/>
  <c r="I260" i="3"/>
  <c r="K260" i="3" s="1"/>
  <c r="J259" i="3"/>
  <c r="M249" i="3"/>
  <c r="L249" i="3"/>
  <c r="N249" i="3" s="1"/>
  <c r="L248" i="3"/>
  <c r="M247" i="3"/>
  <c r="M244" i="3" s="1"/>
  <c r="N246" i="3"/>
  <c r="J245" i="3"/>
  <c r="K241" i="3"/>
  <c r="J241" i="3"/>
  <c r="J240" i="3"/>
  <c r="J228" i="3" s="1"/>
  <c r="I240" i="3"/>
  <c r="K239" i="3"/>
  <c r="J239" i="3"/>
  <c r="J238" i="3"/>
  <c r="I238" i="3"/>
  <c r="K237" i="3"/>
  <c r="J237" i="3"/>
  <c r="J236" i="3"/>
  <c r="I236" i="3"/>
  <c r="J235" i="3"/>
  <c r="I235" i="3"/>
  <c r="K234" i="3"/>
  <c r="J234" i="3"/>
  <c r="L232" i="3"/>
  <c r="N232" i="3" s="1"/>
  <c r="L231" i="3"/>
  <c r="M230" i="3"/>
  <c r="N229" i="3"/>
  <c r="M228" i="3"/>
  <c r="I224" i="3"/>
  <c r="L218" i="3"/>
  <c r="N218" i="3" s="1"/>
  <c r="N217" i="3"/>
  <c r="M216" i="3"/>
  <c r="N215" i="3"/>
  <c r="M214" i="3"/>
  <c r="J214" i="3"/>
  <c r="I211" i="3"/>
  <c r="I209" i="3"/>
  <c r="K209" i="3" s="1"/>
  <c r="L203" i="3"/>
  <c r="N203" i="3" s="1"/>
  <c r="N202" i="3"/>
  <c r="M201" i="3"/>
  <c r="N200" i="3"/>
  <c r="M199" i="3"/>
  <c r="J199" i="3"/>
  <c r="I195" i="3"/>
  <c r="K195" i="3" s="1"/>
  <c r="L189" i="3"/>
  <c r="N189" i="3" s="1"/>
  <c r="L188" i="3"/>
  <c r="M187" i="3"/>
  <c r="N186" i="3"/>
  <c r="M185" i="3"/>
  <c r="J185" i="3"/>
  <c r="I182" i="3"/>
  <c r="K182" i="3" s="1"/>
  <c r="I181" i="3"/>
  <c r="K181" i="3" s="1"/>
  <c r="I180" i="3"/>
  <c r="K180" i="3" s="1"/>
  <c r="I179" i="3"/>
  <c r="L173" i="3"/>
  <c r="N173" i="3" s="1"/>
  <c r="L172" i="3"/>
  <c r="M171" i="3"/>
  <c r="N170" i="3"/>
  <c r="M169" i="3"/>
  <c r="J169" i="3"/>
  <c r="K164" i="3"/>
  <c r="K158" i="3"/>
  <c r="J158" i="3"/>
  <c r="I158" i="3"/>
  <c r="I155" i="3"/>
  <c r="J149" i="3"/>
  <c r="J144" i="3" s="1"/>
  <c r="L148" i="3"/>
  <c r="N148" i="3" s="1"/>
  <c r="N147" i="3"/>
  <c r="M146" i="3"/>
  <c r="M144" i="3" s="1"/>
  <c r="M144" i="1" s="1"/>
  <c r="N145" i="3"/>
  <c r="L141" i="3"/>
  <c r="N141" i="3" s="1"/>
  <c r="I141" i="3"/>
  <c r="L140" i="3"/>
  <c r="N140" i="3" s="1"/>
  <c r="I140" i="3"/>
  <c r="K140" i="3" s="1"/>
  <c r="L138" i="3"/>
  <c r="N138" i="3" s="1"/>
  <c r="I138" i="3"/>
  <c r="L132" i="3"/>
  <c r="L131" i="3" s="1"/>
  <c r="L129" i="3" s="1"/>
  <c r="M131" i="3"/>
  <c r="N130" i="3"/>
  <c r="M129" i="3"/>
  <c r="J129" i="3"/>
  <c r="L126" i="3"/>
  <c r="N126" i="3" s="1"/>
  <c r="I126" i="3"/>
  <c r="K126" i="3" s="1"/>
  <c r="L125" i="3"/>
  <c r="N125" i="3" s="1"/>
  <c r="I125" i="3"/>
  <c r="I124" i="3"/>
  <c r="K124" i="3" s="1"/>
  <c r="L117" i="3"/>
  <c r="M116" i="3"/>
  <c r="N115" i="3"/>
  <c r="M114" i="3"/>
  <c r="J114" i="3"/>
  <c r="L111" i="3"/>
  <c r="N111" i="3" s="1"/>
  <c r="I111" i="3"/>
  <c r="L110" i="3"/>
  <c r="N110" i="3" s="1"/>
  <c r="I110" i="3"/>
  <c r="K110" i="3" s="1"/>
  <c r="L104" i="3"/>
  <c r="M103" i="3"/>
  <c r="N102" i="3"/>
  <c r="M101" i="3"/>
  <c r="J101" i="3"/>
  <c r="L98" i="3"/>
  <c r="N98" i="3" s="1"/>
  <c r="I98" i="3"/>
  <c r="K98" i="3" s="1"/>
  <c r="L92" i="3"/>
  <c r="M91" i="3"/>
  <c r="N90" i="3"/>
  <c r="M89" i="3"/>
  <c r="J89" i="3"/>
  <c r="J84" i="3"/>
  <c r="I83" i="3"/>
  <c r="K83" i="3" s="1"/>
  <c r="L77" i="3"/>
  <c r="M76" i="3"/>
  <c r="N75" i="3"/>
  <c r="M74" i="3"/>
  <c r="J74" i="3"/>
  <c r="M73" i="3"/>
  <c r="L72" i="3"/>
  <c r="N72" i="3" s="1"/>
  <c r="M71" i="3"/>
  <c r="N70" i="3"/>
  <c r="M68" i="3"/>
  <c r="J68" i="3"/>
  <c r="I62" i="3"/>
  <c r="L56" i="3"/>
  <c r="N56" i="3" s="1"/>
  <c r="L55" i="3"/>
  <c r="M54" i="3"/>
  <c r="N53" i="3"/>
  <c r="M52" i="3"/>
  <c r="J52" i="3"/>
  <c r="I48" i="3"/>
  <c r="K48" i="3" s="1"/>
  <c r="I47" i="3"/>
  <c r="K47" i="3" s="1"/>
  <c r="I46" i="3"/>
  <c r="K46" i="3" s="1"/>
  <c r="I45" i="3"/>
  <c r="K45" i="3" s="1"/>
  <c r="I44" i="3"/>
  <c r="I43" i="3"/>
  <c r="L37" i="3"/>
  <c r="N37" i="3" s="1"/>
  <c r="L36" i="3"/>
  <c r="N36" i="3" s="1"/>
  <c r="M35" i="3"/>
  <c r="M32" i="3" s="1"/>
  <c r="L35" i="3"/>
  <c r="N35" i="3" s="1"/>
  <c r="N34" i="3"/>
  <c r="J33" i="3"/>
  <c r="J32" i="3"/>
  <c r="I28" i="3"/>
  <c r="K28" i="3" s="1"/>
  <c r="I27" i="3"/>
  <c r="K27" i="3" s="1"/>
  <c r="I26" i="3"/>
  <c r="K26" i="3" s="1"/>
  <c r="I25" i="3"/>
  <c r="K25" i="3" s="1"/>
  <c r="I24" i="3"/>
  <c r="K24" i="3" s="1"/>
  <c r="I23" i="3"/>
  <c r="K23" i="3" s="1"/>
  <c r="I22" i="3"/>
  <c r="K22" i="3" s="1"/>
  <c r="J21" i="3"/>
  <c r="J20" i="3"/>
  <c r="L14" i="3"/>
  <c r="N14" i="3" s="1"/>
  <c r="L13" i="3"/>
  <c r="N13" i="3" s="1"/>
  <c r="M12" i="3"/>
  <c r="L12" i="3"/>
  <c r="L9" i="3" s="1"/>
  <c r="N11" i="3"/>
  <c r="J10" i="3"/>
  <c r="M9" i="3"/>
  <c r="J9" i="3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17" i="2"/>
  <c r="I517" i="2"/>
  <c r="J514" i="2"/>
  <c r="I514" i="2"/>
  <c r="I513" i="2"/>
  <c r="J510" i="2"/>
  <c r="I510" i="2"/>
  <c r="J504" i="2"/>
  <c r="J490" i="2" s="1"/>
  <c r="I504" i="2"/>
  <c r="K507" i="2" s="1"/>
  <c r="M494" i="2"/>
  <c r="L494" i="2"/>
  <c r="N494" i="2" s="1"/>
  <c r="L493" i="2"/>
  <c r="N493" i="2" s="1"/>
  <c r="M492" i="2"/>
  <c r="M490" i="2" s="1"/>
  <c r="M490" i="1" s="1"/>
  <c r="N491" i="2"/>
  <c r="J489" i="2"/>
  <c r="I489" i="2"/>
  <c r="K489" i="2" s="1"/>
  <c r="J488" i="2"/>
  <c r="J473" i="2" s="1"/>
  <c r="I488" i="2"/>
  <c r="J487" i="2"/>
  <c r="I487" i="2"/>
  <c r="K487" i="2" s="1"/>
  <c r="J486" i="2"/>
  <c r="I486" i="2"/>
  <c r="J485" i="2"/>
  <c r="I485" i="2"/>
  <c r="K485" i="2" s="1"/>
  <c r="J484" i="2"/>
  <c r="I484" i="2"/>
  <c r="J483" i="2"/>
  <c r="I483" i="2"/>
  <c r="K483" i="2" s="1"/>
  <c r="J482" i="2"/>
  <c r="I482" i="2"/>
  <c r="M477" i="2"/>
  <c r="L477" i="2"/>
  <c r="N477" i="2" s="1"/>
  <c r="L476" i="2"/>
  <c r="M475" i="2"/>
  <c r="N474" i="2"/>
  <c r="M473" i="2"/>
  <c r="K472" i="2"/>
  <c r="K471" i="2"/>
  <c r="K470" i="2"/>
  <c r="K469" i="2"/>
  <c r="K468" i="2"/>
  <c r="J466" i="2"/>
  <c r="I466" i="2"/>
  <c r="I457" i="2" s="1"/>
  <c r="K457" i="2" s="1"/>
  <c r="M461" i="2"/>
  <c r="M459" i="2" s="1"/>
  <c r="L461" i="2"/>
  <c r="L460" i="2"/>
  <c r="N458" i="2"/>
  <c r="J457" i="2"/>
  <c r="I456" i="2"/>
  <c r="I455" i="2"/>
  <c r="K455" i="2" s="1"/>
  <c r="I454" i="2"/>
  <c r="K454" i="2" s="1"/>
  <c r="I453" i="2"/>
  <c r="K453" i="2" s="1"/>
  <c r="M448" i="2"/>
  <c r="L448" i="2"/>
  <c r="L447" i="2"/>
  <c r="M446" i="2"/>
  <c r="N445" i="2"/>
  <c r="M444" i="2"/>
  <c r="M444" i="1" s="1"/>
  <c r="J444" i="2"/>
  <c r="I441" i="2"/>
  <c r="K441" i="2" s="1"/>
  <c r="I440" i="2"/>
  <c r="M430" i="2"/>
  <c r="L430" i="2"/>
  <c r="N430" i="2" s="1"/>
  <c r="L429" i="2"/>
  <c r="M428" i="2"/>
  <c r="N427" i="2"/>
  <c r="M426" i="2"/>
  <c r="J426" i="2"/>
  <c r="J417" i="2"/>
  <c r="I419" i="2" s="1"/>
  <c r="J416" i="2"/>
  <c r="I418" i="2" s="1"/>
  <c r="J415" i="2"/>
  <c r="J414" i="2"/>
  <c r="J413" i="2"/>
  <c r="J412" i="2"/>
  <c r="I411" i="2"/>
  <c r="I410" i="2"/>
  <c r="I409" i="2"/>
  <c r="K408" i="2"/>
  <c r="K407" i="2"/>
  <c r="K406" i="2"/>
  <c r="K405" i="2"/>
  <c r="K404" i="2"/>
  <c r="K403" i="2"/>
  <c r="K402" i="2"/>
  <c r="J402" i="2"/>
  <c r="K401" i="2"/>
  <c r="J401" i="2"/>
  <c r="J401" i="1" s="1"/>
  <c r="K400" i="2"/>
  <c r="K399" i="2"/>
  <c r="K398" i="2"/>
  <c r="K397" i="2"/>
  <c r="K396" i="2"/>
  <c r="K395" i="2"/>
  <c r="K394" i="2"/>
  <c r="J394" i="2"/>
  <c r="J394" i="1" s="1"/>
  <c r="K393" i="2"/>
  <c r="J393" i="2"/>
  <c r="J392" i="2"/>
  <c r="I392" i="2"/>
  <c r="I391" i="2"/>
  <c r="K391" i="2" s="1"/>
  <c r="I390" i="2"/>
  <c r="K389" i="2"/>
  <c r="K388" i="2"/>
  <c r="K387" i="2"/>
  <c r="K386" i="2"/>
  <c r="K385" i="2"/>
  <c r="K384" i="2"/>
  <c r="K383" i="2"/>
  <c r="J383" i="2"/>
  <c r="J383" i="1" s="1"/>
  <c r="K382" i="2"/>
  <c r="J382" i="2"/>
  <c r="K381" i="2"/>
  <c r="K380" i="2"/>
  <c r="K379" i="2"/>
  <c r="K378" i="2"/>
  <c r="J376" i="2"/>
  <c r="J359" i="2" s="1"/>
  <c r="K375" i="2"/>
  <c r="K374" i="2"/>
  <c r="K373" i="2"/>
  <c r="K372" i="2"/>
  <c r="K371" i="2"/>
  <c r="K370" i="2"/>
  <c r="J369" i="2"/>
  <c r="J368" i="2"/>
  <c r="K367" i="2"/>
  <c r="K366" i="2"/>
  <c r="K365" i="2"/>
  <c r="K364" i="2"/>
  <c r="K363" i="2"/>
  <c r="K362" i="2"/>
  <c r="J361" i="2"/>
  <c r="I361" i="2"/>
  <c r="J360" i="2"/>
  <c r="I360" i="2"/>
  <c r="K360" i="2" s="1"/>
  <c r="I359" i="2"/>
  <c r="M354" i="2"/>
  <c r="L354" i="2"/>
  <c r="N354" i="2" s="1"/>
  <c r="L353" i="2"/>
  <c r="N351" i="2"/>
  <c r="J350" i="2"/>
  <c r="I347" i="2"/>
  <c r="I346" i="2"/>
  <c r="K346" i="2" s="1"/>
  <c r="I345" i="2"/>
  <c r="J344" i="2"/>
  <c r="M334" i="2"/>
  <c r="L334" i="2"/>
  <c r="N334" i="2" s="1"/>
  <c r="L333" i="2"/>
  <c r="N331" i="2"/>
  <c r="J330" i="2"/>
  <c r="I327" i="2"/>
  <c r="I326" i="2"/>
  <c r="I324" i="2"/>
  <c r="K324" i="2" s="1"/>
  <c r="I323" i="2"/>
  <c r="K323" i="2" s="1"/>
  <c r="I322" i="2"/>
  <c r="K322" i="2" s="1"/>
  <c r="I321" i="2"/>
  <c r="I320" i="2"/>
  <c r="K320" i="2" s="1"/>
  <c r="I319" i="2"/>
  <c r="K319" i="2" s="1"/>
  <c r="I318" i="2"/>
  <c r="K318" i="2" s="1"/>
  <c r="I317" i="2"/>
  <c r="K317" i="2" s="1"/>
  <c r="I316" i="2"/>
  <c r="I315" i="2"/>
  <c r="K315" i="2" s="1"/>
  <c r="I314" i="2"/>
  <c r="K314" i="2" s="1"/>
  <c r="I313" i="2"/>
  <c r="K313" i="2" s="1"/>
  <c r="I312" i="2"/>
  <c r="M301" i="2"/>
  <c r="L301" i="2"/>
  <c r="N301" i="2" s="1"/>
  <c r="L300" i="2"/>
  <c r="N300" i="2" s="1"/>
  <c r="M299" i="2"/>
  <c r="M296" i="2" s="1"/>
  <c r="N298" i="2"/>
  <c r="J296" i="2"/>
  <c r="I293" i="2"/>
  <c r="K293" i="2" s="1"/>
  <c r="I292" i="2"/>
  <c r="I291" i="2"/>
  <c r="K291" i="2" s="1"/>
  <c r="M280" i="2"/>
  <c r="L280" i="2"/>
  <c r="N280" i="2" s="1"/>
  <c r="L279" i="2"/>
  <c r="M278" i="2"/>
  <c r="M275" i="2" s="1"/>
  <c r="N277" i="2"/>
  <c r="J276" i="2"/>
  <c r="J275" i="2"/>
  <c r="I272" i="2"/>
  <c r="I271" i="2"/>
  <c r="K271" i="2" s="1"/>
  <c r="J270" i="2"/>
  <c r="J244" i="2" s="1"/>
  <c r="I268" i="2"/>
  <c r="K268" i="2" s="1"/>
  <c r="I266" i="2"/>
  <c r="I264" i="2"/>
  <c r="J263" i="2"/>
  <c r="I263" i="2"/>
  <c r="I267" i="2" s="1"/>
  <c r="K267" i="2" s="1"/>
  <c r="J262" i="2"/>
  <c r="I260" i="2"/>
  <c r="K260" i="2" s="1"/>
  <c r="J259" i="2"/>
  <c r="M249" i="2"/>
  <c r="L249" i="2"/>
  <c r="L248" i="2"/>
  <c r="M247" i="2"/>
  <c r="M244" i="2" s="1"/>
  <c r="N246" i="2"/>
  <c r="J245" i="2"/>
  <c r="K241" i="2"/>
  <c r="J241" i="2"/>
  <c r="J240" i="2"/>
  <c r="I240" i="2"/>
  <c r="K239" i="2"/>
  <c r="J239" i="2"/>
  <c r="J238" i="2"/>
  <c r="I238" i="2"/>
  <c r="K237" i="2"/>
  <c r="J237" i="2"/>
  <c r="J236" i="2"/>
  <c r="I236" i="2"/>
  <c r="J235" i="2"/>
  <c r="I235" i="2"/>
  <c r="K234" i="2"/>
  <c r="J234" i="2"/>
  <c r="L232" i="2"/>
  <c r="N232" i="2" s="1"/>
  <c r="L231" i="2"/>
  <c r="M230" i="2"/>
  <c r="M228" i="2" s="1"/>
  <c r="M228" i="1" s="1"/>
  <c r="N229" i="2"/>
  <c r="I224" i="2"/>
  <c r="L218" i="2"/>
  <c r="N218" i="2" s="1"/>
  <c r="N217" i="2"/>
  <c r="M216" i="2"/>
  <c r="N215" i="2"/>
  <c r="M214" i="2"/>
  <c r="J214" i="2"/>
  <c r="I211" i="2"/>
  <c r="K211" i="2" s="1"/>
  <c r="I209" i="2"/>
  <c r="L203" i="2"/>
  <c r="N203" i="2" s="1"/>
  <c r="N202" i="2"/>
  <c r="M201" i="2"/>
  <c r="M199" i="2" s="1"/>
  <c r="M199" i="1" s="1"/>
  <c r="N200" i="2"/>
  <c r="J199" i="2"/>
  <c r="I195" i="2"/>
  <c r="I185" i="2" s="1"/>
  <c r="K185" i="2" s="1"/>
  <c r="L189" i="2"/>
  <c r="N189" i="2" s="1"/>
  <c r="L188" i="2"/>
  <c r="M187" i="2"/>
  <c r="M185" i="2" s="1"/>
  <c r="M185" i="1" s="1"/>
  <c r="N186" i="2"/>
  <c r="J185" i="2"/>
  <c r="I182" i="2"/>
  <c r="K182" i="2" s="1"/>
  <c r="I181" i="2"/>
  <c r="K181" i="2" s="1"/>
  <c r="I180" i="2"/>
  <c r="K180" i="2" s="1"/>
  <c r="I179" i="2"/>
  <c r="K179" i="2" s="1"/>
  <c r="L173" i="2"/>
  <c r="N173" i="2" s="1"/>
  <c r="L172" i="2"/>
  <c r="M171" i="2"/>
  <c r="N170" i="2"/>
  <c r="M169" i="2"/>
  <c r="J169" i="2"/>
  <c r="K164" i="2"/>
  <c r="K158" i="2"/>
  <c r="J158" i="2"/>
  <c r="I158" i="2"/>
  <c r="I155" i="2"/>
  <c r="J149" i="2"/>
  <c r="J144" i="2" s="1"/>
  <c r="L148" i="2"/>
  <c r="N147" i="2"/>
  <c r="M146" i="2"/>
  <c r="N145" i="2"/>
  <c r="M144" i="2"/>
  <c r="L141" i="2"/>
  <c r="N141" i="2" s="1"/>
  <c r="I141" i="2"/>
  <c r="K141" i="2" s="1"/>
  <c r="L140" i="2"/>
  <c r="N140" i="2" s="1"/>
  <c r="I140" i="2"/>
  <c r="L138" i="2"/>
  <c r="N138" i="2" s="1"/>
  <c r="I138" i="2"/>
  <c r="K138" i="2" s="1"/>
  <c r="L132" i="2"/>
  <c r="L131" i="2" s="1"/>
  <c r="N131" i="2" s="1"/>
  <c r="M131" i="2"/>
  <c r="M129" i="2" s="1"/>
  <c r="N130" i="2"/>
  <c r="J129" i="2"/>
  <c r="L126" i="2"/>
  <c r="N126" i="2" s="1"/>
  <c r="I126" i="2"/>
  <c r="K126" i="2" s="1"/>
  <c r="L125" i="2"/>
  <c r="N125" i="2" s="1"/>
  <c r="I125" i="2"/>
  <c r="I124" i="2"/>
  <c r="K124" i="2" s="1"/>
  <c r="L117" i="2"/>
  <c r="M116" i="2"/>
  <c r="N115" i="2"/>
  <c r="M114" i="2"/>
  <c r="J114" i="2"/>
  <c r="L111" i="2"/>
  <c r="N111" i="2" s="1"/>
  <c r="I111" i="2"/>
  <c r="K111" i="2" s="1"/>
  <c r="L110" i="2"/>
  <c r="N110" i="2" s="1"/>
  <c r="I110" i="2"/>
  <c r="K110" i="2" s="1"/>
  <c r="L104" i="2"/>
  <c r="M103" i="2"/>
  <c r="N102" i="2"/>
  <c r="M101" i="2"/>
  <c r="J101" i="2"/>
  <c r="L98" i="2"/>
  <c r="N98" i="2" s="1"/>
  <c r="I98" i="2"/>
  <c r="L92" i="2"/>
  <c r="M91" i="2"/>
  <c r="N90" i="2"/>
  <c r="M89" i="2"/>
  <c r="J89" i="2"/>
  <c r="J84" i="2"/>
  <c r="I83" i="2"/>
  <c r="L77" i="2"/>
  <c r="M76" i="2"/>
  <c r="N75" i="2"/>
  <c r="M74" i="2"/>
  <c r="J74" i="2"/>
  <c r="M73" i="2"/>
  <c r="L72" i="2"/>
  <c r="M71" i="2"/>
  <c r="M68" i="2" s="1"/>
  <c r="M68" i="1" s="1"/>
  <c r="N70" i="2"/>
  <c r="J68" i="2"/>
  <c r="I62" i="2"/>
  <c r="L56" i="2"/>
  <c r="L55" i="2"/>
  <c r="M54" i="2"/>
  <c r="N53" i="2"/>
  <c r="M52" i="2"/>
  <c r="J52" i="2"/>
  <c r="I48" i="2"/>
  <c r="I47" i="2"/>
  <c r="K47" i="2" s="1"/>
  <c r="I46" i="2"/>
  <c r="I45" i="2"/>
  <c r="K45" i="2" s="1"/>
  <c r="I44" i="2"/>
  <c r="I43" i="2"/>
  <c r="K43" i="2" s="1"/>
  <c r="L37" i="2"/>
  <c r="L36" i="2"/>
  <c r="M35" i="2"/>
  <c r="M32" i="2" s="1"/>
  <c r="L35" i="2"/>
  <c r="N35" i="2" s="1"/>
  <c r="N34" i="2"/>
  <c r="J33" i="2"/>
  <c r="J32" i="2"/>
  <c r="I28" i="2"/>
  <c r="I27" i="2"/>
  <c r="K27" i="2" s="1"/>
  <c r="I26" i="2"/>
  <c r="K26" i="2" s="1"/>
  <c r="I25" i="2"/>
  <c r="K25" i="2" s="1"/>
  <c r="I24" i="2"/>
  <c r="K24" i="2" s="1"/>
  <c r="I23" i="2"/>
  <c r="K23" i="2" s="1"/>
  <c r="I22" i="2"/>
  <c r="J21" i="2"/>
  <c r="J20" i="2"/>
  <c r="J9" i="2" s="1"/>
  <c r="L14" i="2"/>
  <c r="N14" i="2" s="1"/>
  <c r="L13" i="2"/>
  <c r="N13" i="2" s="1"/>
  <c r="M12" i="2"/>
  <c r="M9" i="2" s="1"/>
  <c r="L12" i="2"/>
  <c r="N12" i="2" s="1"/>
  <c r="N11" i="2"/>
  <c r="J10" i="2"/>
  <c r="J519" i="1"/>
  <c r="J518" i="1"/>
  <c r="J517" i="1"/>
  <c r="J516" i="1"/>
  <c r="J515" i="1"/>
  <c r="J512" i="1"/>
  <c r="J511" i="1"/>
  <c r="J510" i="1"/>
  <c r="J509" i="1"/>
  <c r="J508" i="1"/>
  <c r="J507" i="1"/>
  <c r="J506" i="1"/>
  <c r="J505" i="1"/>
  <c r="J503" i="1"/>
  <c r="J502" i="1"/>
  <c r="J501" i="1"/>
  <c r="J500" i="1"/>
  <c r="M498" i="1"/>
  <c r="M497" i="1"/>
  <c r="M496" i="1"/>
  <c r="M495" i="1"/>
  <c r="M493" i="1"/>
  <c r="M492" i="1"/>
  <c r="M491" i="1"/>
  <c r="L491" i="1"/>
  <c r="N491" i="1" s="1"/>
  <c r="M481" i="1"/>
  <c r="M480" i="1"/>
  <c r="M479" i="1"/>
  <c r="M478" i="1"/>
  <c r="M477" i="1"/>
  <c r="M476" i="1"/>
  <c r="N474" i="1"/>
  <c r="M474" i="1"/>
  <c r="L474" i="1"/>
  <c r="J472" i="1"/>
  <c r="I472" i="1"/>
  <c r="K472" i="1" s="1"/>
  <c r="K471" i="1"/>
  <c r="J471" i="1"/>
  <c r="I471" i="1"/>
  <c r="K470" i="1"/>
  <c r="J470" i="1"/>
  <c r="I470" i="1"/>
  <c r="J469" i="1"/>
  <c r="I469" i="1"/>
  <c r="K469" i="1" s="1"/>
  <c r="J468" i="1"/>
  <c r="I468" i="1"/>
  <c r="K468" i="1" s="1"/>
  <c r="M465" i="1"/>
  <c r="M464" i="1"/>
  <c r="M463" i="1"/>
  <c r="M462" i="1"/>
  <c r="M460" i="1"/>
  <c r="N458" i="1"/>
  <c r="M458" i="1"/>
  <c r="L458" i="1"/>
  <c r="J456" i="1"/>
  <c r="J455" i="1"/>
  <c r="J454" i="1"/>
  <c r="J453" i="1"/>
  <c r="M452" i="1"/>
  <c r="M451" i="1"/>
  <c r="M450" i="1"/>
  <c r="M449" i="1"/>
  <c r="M448" i="1"/>
  <c r="M447" i="1"/>
  <c r="N445" i="1"/>
  <c r="M445" i="1"/>
  <c r="L445" i="1"/>
  <c r="J443" i="1"/>
  <c r="J442" i="1"/>
  <c r="J441" i="1"/>
  <c r="J440" i="1"/>
  <c r="J439" i="1"/>
  <c r="J438" i="1"/>
  <c r="J437" i="1"/>
  <c r="J436" i="1"/>
  <c r="M434" i="1"/>
  <c r="M433" i="1"/>
  <c r="M432" i="1"/>
  <c r="M431" i="1"/>
  <c r="M429" i="1"/>
  <c r="M428" i="1"/>
  <c r="M427" i="1"/>
  <c r="L427" i="1"/>
  <c r="N427" i="1" s="1"/>
  <c r="K425" i="1"/>
  <c r="J425" i="1"/>
  <c r="K424" i="1"/>
  <c r="J424" i="1"/>
  <c r="K423" i="1"/>
  <c r="J423" i="1"/>
  <c r="K422" i="1"/>
  <c r="J422" i="1"/>
  <c r="K421" i="1"/>
  <c r="J421" i="1"/>
  <c r="K420" i="1"/>
  <c r="J420" i="1"/>
  <c r="J419" i="1"/>
  <c r="J418" i="1"/>
  <c r="K417" i="1"/>
  <c r="K416" i="1"/>
  <c r="K415" i="1"/>
  <c r="K414" i="1"/>
  <c r="K413" i="1"/>
  <c r="K412" i="1"/>
  <c r="J411" i="1"/>
  <c r="J410" i="1"/>
  <c r="J409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J402" i="1"/>
  <c r="K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K393" i="1"/>
  <c r="J392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K382" i="1"/>
  <c r="K381" i="1"/>
  <c r="J381" i="1"/>
  <c r="K380" i="1"/>
  <c r="J380" i="1"/>
  <c r="K379" i="1"/>
  <c r="J379" i="1"/>
  <c r="K378" i="1"/>
  <c r="J378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J361" i="1"/>
  <c r="J360" i="1"/>
  <c r="M358" i="1"/>
  <c r="M357" i="1"/>
  <c r="M356" i="1"/>
  <c r="M355" i="1"/>
  <c r="M353" i="1"/>
  <c r="M351" i="1"/>
  <c r="L351" i="1"/>
  <c r="N351" i="1" s="1"/>
  <c r="J349" i="1"/>
  <c r="J348" i="1"/>
  <c r="J347" i="1"/>
  <c r="J346" i="1"/>
  <c r="J345" i="1"/>
  <c r="J343" i="1"/>
  <c r="J342" i="1"/>
  <c r="J341" i="1"/>
  <c r="J340" i="1"/>
  <c r="M338" i="1"/>
  <c r="M337" i="1"/>
  <c r="M336" i="1"/>
  <c r="M335" i="1"/>
  <c r="M333" i="1"/>
  <c r="M331" i="1"/>
  <c r="L331" i="1"/>
  <c r="N331" i="1" s="1"/>
  <c r="J329" i="1"/>
  <c r="J328" i="1"/>
  <c r="J327" i="1"/>
  <c r="J326" i="1"/>
  <c r="J324" i="1"/>
  <c r="J323" i="1"/>
  <c r="J322" i="1"/>
  <c r="J320" i="1"/>
  <c r="J319" i="1"/>
  <c r="J318" i="1"/>
  <c r="J317" i="1"/>
  <c r="J315" i="1"/>
  <c r="J314" i="1"/>
  <c r="J313" i="1"/>
  <c r="J310" i="1"/>
  <c r="J309" i="1"/>
  <c r="J308" i="1"/>
  <c r="J307" i="1"/>
  <c r="M305" i="1"/>
  <c r="M304" i="1"/>
  <c r="M303" i="1"/>
  <c r="M302" i="1"/>
  <c r="M301" i="1"/>
  <c r="M300" i="1"/>
  <c r="M299" i="1"/>
  <c r="N298" i="1"/>
  <c r="M298" i="1"/>
  <c r="L298" i="1"/>
  <c r="M296" i="1"/>
  <c r="J296" i="1"/>
  <c r="J295" i="1"/>
  <c r="J294" i="1"/>
  <c r="J293" i="1"/>
  <c r="J292" i="1"/>
  <c r="J291" i="1"/>
  <c r="J289" i="1"/>
  <c r="J288" i="1"/>
  <c r="J287" i="1"/>
  <c r="J286" i="1"/>
  <c r="M284" i="1"/>
  <c r="M283" i="1"/>
  <c r="M282" i="1"/>
  <c r="M281" i="1"/>
  <c r="M280" i="1"/>
  <c r="M279" i="1"/>
  <c r="N277" i="1"/>
  <c r="M277" i="1"/>
  <c r="L277" i="1"/>
  <c r="J276" i="1"/>
  <c r="J275" i="1"/>
  <c r="J274" i="1"/>
  <c r="J273" i="1"/>
  <c r="J272" i="1"/>
  <c r="J271" i="1"/>
  <c r="J270" i="1"/>
  <c r="J268" i="1"/>
  <c r="J267" i="1"/>
  <c r="J266" i="1"/>
  <c r="J265" i="1"/>
  <c r="J264" i="1"/>
  <c r="J263" i="1"/>
  <c r="J262" i="1"/>
  <c r="J260" i="1"/>
  <c r="J258" i="1"/>
  <c r="J257" i="1"/>
  <c r="J256" i="1"/>
  <c r="J255" i="1"/>
  <c r="M253" i="1"/>
  <c r="M252" i="1"/>
  <c r="M251" i="1"/>
  <c r="M250" i="1"/>
  <c r="M249" i="1"/>
  <c r="M248" i="1"/>
  <c r="M246" i="1"/>
  <c r="L246" i="1"/>
  <c r="N246" i="1" s="1"/>
  <c r="J244" i="1"/>
  <c r="K241" i="1"/>
  <c r="I241" i="1"/>
  <c r="I239" i="1"/>
  <c r="K239" i="1" s="1"/>
  <c r="K237" i="1"/>
  <c r="I237" i="1"/>
  <c r="I234" i="1"/>
  <c r="K234" i="1" s="1"/>
  <c r="M232" i="1"/>
  <c r="M231" i="1"/>
  <c r="M230" i="1"/>
  <c r="M229" i="1"/>
  <c r="L229" i="1"/>
  <c r="N229" i="1" s="1"/>
  <c r="J226" i="1"/>
  <c r="J225" i="1"/>
  <c r="J224" i="1"/>
  <c r="J223" i="1"/>
  <c r="J222" i="1"/>
  <c r="J221" i="1"/>
  <c r="J220" i="1"/>
  <c r="M218" i="1"/>
  <c r="M217" i="1"/>
  <c r="L217" i="1"/>
  <c r="N217" i="1" s="1"/>
  <c r="M216" i="1"/>
  <c r="N215" i="1"/>
  <c r="M215" i="1"/>
  <c r="L215" i="1"/>
  <c r="J214" i="1"/>
  <c r="J213" i="1"/>
  <c r="J212" i="1"/>
  <c r="J211" i="1"/>
  <c r="J209" i="1"/>
  <c r="J208" i="1"/>
  <c r="J207" i="1"/>
  <c r="J206" i="1"/>
  <c r="J205" i="1"/>
  <c r="M203" i="1"/>
  <c r="N202" i="1"/>
  <c r="M202" i="1"/>
  <c r="L202" i="1"/>
  <c r="M201" i="1"/>
  <c r="M200" i="1"/>
  <c r="L200" i="1"/>
  <c r="N200" i="1" s="1"/>
  <c r="J199" i="1"/>
  <c r="J197" i="1"/>
  <c r="J196" i="1"/>
  <c r="J195" i="1"/>
  <c r="J194" i="1"/>
  <c r="J193" i="1"/>
  <c r="J192" i="1"/>
  <c r="J191" i="1"/>
  <c r="M189" i="1"/>
  <c r="M188" i="1"/>
  <c r="M187" i="1"/>
  <c r="M186" i="1"/>
  <c r="L186" i="1"/>
  <c r="N186" i="1" s="1"/>
  <c r="J185" i="1"/>
  <c r="J184" i="1"/>
  <c r="J183" i="1"/>
  <c r="J182" i="1"/>
  <c r="J181" i="1"/>
  <c r="J180" i="1"/>
  <c r="J179" i="1"/>
  <c r="J178" i="1"/>
  <c r="J177" i="1"/>
  <c r="J176" i="1"/>
  <c r="J175" i="1"/>
  <c r="M173" i="1"/>
  <c r="M172" i="1"/>
  <c r="M171" i="1"/>
  <c r="M170" i="1"/>
  <c r="L170" i="1"/>
  <c r="N170" i="1" s="1"/>
  <c r="M169" i="1"/>
  <c r="J169" i="1"/>
  <c r="J166" i="1"/>
  <c r="J165" i="1"/>
  <c r="K164" i="1"/>
  <c r="J164" i="1"/>
  <c r="I164" i="1"/>
  <c r="J163" i="1"/>
  <c r="J162" i="1"/>
  <c r="J161" i="1"/>
  <c r="J160" i="1"/>
  <c r="K158" i="1"/>
  <c r="J158" i="1"/>
  <c r="I158" i="1"/>
  <c r="J157" i="1"/>
  <c r="J156" i="1"/>
  <c r="J155" i="1"/>
  <c r="J154" i="1"/>
  <c r="J153" i="1"/>
  <c r="J152" i="1"/>
  <c r="J151" i="1"/>
  <c r="J149" i="1"/>
  <c r="M148" i="1"/>
  <c r="M147" i="1"/>
  <c r="L147" i="1"/>
  <c r="N147" i="1" s="1"/>
  <c r="M146" i="1"/>
  <c r="N145" i="1"/>
  <c r="M145" i="1"/>
  <c r="L145" i="1"/>
  <c r="J143" i="1"/>
  <c r="J142" i="1"/>
  <c r="J141" i="1"/>
  <c r="J140" i="1"/>
  <c r="J138" i="1"/>
  <c r="J137" i="1"/>
  <c r="J136" i="1"/>
  <c r="J135" i="1"/>
  <c r="J134" i="1"/>
  <c r="M132" i="1"/>
  <c r="M131" i="1"/>
  <c r="M130" i="1"/>
  <c r="L130" i="1"/>
  <c r="N130" i="1" s="1"/>
  <c r="J129" i="1"/>
  <c r="J128" i="1"/>
  <c r="J127" i="1"/>
  <c r="J126" i="1"/>
  <c r="J125" i="1"/>
  <c r="J124" i="1"/>
  <c r="J122" i="1"/>
  <c r="J121" i="1"/>
  <c r="J120" i="1"/>
  <c r="J119" i="1"/>
  <c r="M117" i="1"/>
  <c r="M116" i="1"/>
  <c r="N115" i="1"/>
  <c r="M115" i="1"/>
  <c r="L115" i="1"/>
  <c r="M114" i="1"/>
  <c r="J114" i="1"/>
  <c r="J113" i="1"/>
  <c r="J112" i="1"/>
  <c r="J111" i="1"/>
  <c r="J110" i="1"/>
  <c r="J109" i="1"/>
  <c r="J108" i="1"/>
  <c r="J107" i="1"/>
  <c r="J106" i="1"/>
  <c r="M104" i="1"/>
  <c r="M103" i="1"/>
  <c r="M102" i="1"/>
  <c r="L102" i="1"/>
  <c r="N102" i="1" s="1"/>
  <c r="M101" i="1"/>
  <c r="J101" i="1"/>
  <c r="J100" i="1"/>
  <c r="J99" i="1"/>
  <c r="J98" i="1"/>
  <c r="J97" i="1"/>
  <c r="J96" i="1"/>
  <c r="J95" i="1"/>
  <c r="J94" i="1"/>
  <c r="M92" i="1"/>
  <c r="M91" i="1"/>
  <c r="M90" i="1"/>
  <c r="L90" i="1"/>
  <c r="N90" i="1" s="1"/>
  <c r="M89" i="1"/>
  <c r="J89" i="1"/>
  <c r="J88" i="1"/>
  <c r="J87" i="1"/>
  <c r="J86" i="1"/>
  <c r="J85" i="1"/>
  <c r="J84" i="1"/>
  <c r="J83" i="1"/>
  <c r="J82" i="1"/>
  <c r="J81" i="1"/>
  <c r="J80" i="1"/>
  <c r="J79" i="1"/>
  <c r="M77" i="1"/>
  <c r="M76" i="1"/>
  <c r="M75" i="1"/>
  <c r="L75" i="1"/>
  <c r="N75" i="1" s="1"/>
  <c r="J74" i="1"/>
  <c r="M73" i="1"/>
  <c r="M72" i="1"/>
  <c r="M71" i="1"/>
  <c r="N70" i="1"/>
  <c r="M70" i="1"/>
  <c r="L70" i="1"/>
  <c r="J68" i="1"/>
  <c r="J65" i="1"/>
  <c r="J64" i="1"/>
  <c r="J63" i="1"/>
  <c r="J62" i="1"/>
  <c r="J61" i="1"/>
  <c r="J60" i="1"/>
  <c r="J59" i="1"/>
  <c r="J58" i="1"/>
  <c r="M56" i="1"/>
  <c r="M55" i="1"/>
  <c r="M54" i="1"/>
  <c r="M53" i="1"/>
  <c r="L53" i="1"/>
  <c r="N53" i="1" s="1"/>
  <c r="M52" i="1"/>
  <c r="J52" i="1"/>
  <c r="J50" i="1"/>
  <c r="J49" i="1"/>
  <c r="J48" i="1"/>
  <c r="J47" i="1"/>
  <c r="J46" i="1"/>
  <c r="J45" i="1"/>
  <c r="J44" i="1"/>
  <c r="J43" i="1"/>
  <c r="J42" i="1"/>
  <c r="J41" i="1"/>
  <c r="J40" i="1"/>
  <c r="J39" i="1"/>
  <c r="M37" i="1"/>
  <c r="M36" i="1"/>
  <c r="M35" i="1"/>
  <c r="N34" i="1"/>
  <c r="M34" i="1"/>
  <c r="L34" i="1"/>
  <c r="J33" i="1"/>
  <c r="J32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M14" i="1"/>
  <c r="M13" i="1"/>
  <c r="M12" i="1"/>
  <c r="M11" i="1"/>
  <c r="L11" i="1"/>
  <c r="N11" i="1" s="1"/>
  <c r="J10" i="1"/>
  <c r="J9" i="1"/>
  <c r="I350" i="7" l="1"/>
  <c r="K350" i="7" s="1"/>
  <c r="I33" i="14"/>
  <c r="K33" i="14" s="1"/>
  <c r="I199" i="9"/>
  <c r="K199" i="9" s="1"/>
  <c r="I74" i="4"/>
  <c r="I185" i="22"/>
  <c r="K185" i="22" s="1"/>
  <c r="I129" i="8"/>
  <c r="K129" i="8" s="1"/>
  <c r="K209" i="7"/>
  <c r="I101" i="22"/>
  <c r="K101" i="22" s="1"/>
  <c r="K523" i="22"/>
  <c r="I426" i="3"/>
  <c r="K426" i="3" s="1"/>
  <c r="I426" i="4"/>
  <c r="K426" i="4" s="1"/>
  <c r="L76" i="15"/>
  <c r="L74" i="15" s="1"/>
  <c r="N74" i="15" s="1"/>
  <c r="I199" i="15"/>
  <c r="K199" i="15" s="1"/>
  <c r="K521" i="15"/>
  <c r="I185" i="7"/>
  <c r="K185" i="7" s="1"/>
  <c r="L146" i="5"/>
  <c r="N146" i="5" s="1"/>
  <c r="K236" i="16"/>
  <c r="K527" i="22"/>
  <c r="L146" i="16"/>
  <c r="N146" i="16" s="1"/>
  <c r="K525" i="8"/>
  <c r="L9" i="7"/>
  <c r="N9" i="7" s="1"/>
  <c r="K235" i="11"/>
  <c r="L428" i="11"/>
  <c r="N428" i="11" s="1"/>
  <c r="L32" i="14"/>
  <c r="N32" i="14" s="1"/>
  <c r="L216" i="15"/>
  <c r="N216" i="15" s="1"/>
  <c r="K524" i="9"/>
  <c r="K235" i="14"/>
  <c r="L492" i="6"/>
  <c r="N492" i="6" s="1"/>
  <c r="L187" i="18"/>
  <c r="L185" i="18" s="1"/>
  <c r="N185" i="18" s="1"/>
  <c r="L278" i="19"/>
  <c r="L275" i="19" s="1"/>
  <c r="N275" i="19" s="1"/>
  <c r="I245" i="9"/>
  <c r="K245" i="9" s="1"/>
  <c r="I275" i="14"/>
  <c r="K275" i="14" s="1"/>
  <c r="K486" i="21"/>
  <c r="L201" i="22"/>
  <c r="N201" i="22" s="1"/>
  <c r="I228" i="8"/>
  <c r="K228" i="8" s="1"/>
  <c r="L9" i="10"/>
  <c r="N9" i="10" s="1"/>
  <c r="L32" i="10"/>
  <c r="N32" i="10" s="1"/>
  <c r="I473" i="20"/>
  <c r="K473" i="20" s="1"/>
  <c r="N132" i="7"/>
  <c r="J321" i="8"/>
  <c r="I169" i="2"/>
  <c r="K169" i="2" s="1"/>
  <c r="L9" i="22"/>
  <c r="N9" i="22" s="1"/>
  <c r="K235" i="2"/>
  <c r="K521" i="6"/>
  <c r="L187" i="9"/>
  <c r="L185" i="9" s="1"/>
  <c r="N185" i="9" s="1"/>
  <c r="L247" i="9"/>
  <c r="L244" i="9" s="1"/>
  <c r="N244" i="9" s="1"/>
  <c r="I52" i="18"/>
  <c r="K52" i="18" s="1"/>
  <c r="L189" i="1"/>
  <c r="N189" i="1" s="1"/>
  <c r="I264" i="1"/>
  <c r="K264" i="1" s="1"/>
  <c r="K528" i="5"/>
  <c r="N132" i="13"/>
  <c r="N77" i="16"/>
  <c r="K111" i="16"/>
  <c r="I169" i="18"/>
  <c r="K169" i="18" s="1"/>
  <c r="L203" i="1"/>
  <c r="N203" i="1" s="1"/>
  <c r="L116" i="18"/>
  <c r="N116" i="18" s="1"/>
  <c r="K522" i="18"/>
  <c r="L32" i="3"/>
  <c r="N32" i="3" s="1"/>
  <c r="I20" i="8"/>
  <c r="I9" i="8" s="1"/>
  <c r="K9" i="8" s="1"/>
  <c r="I245" i="21"/>
  <c r="K245" i="21" s="1"/>
  <c r="I101" i="2"/>
  <c r="K101" i="2" s="1"/>
  <c r="L230" i="17"/>
  <c r="N230" i="17" s="1"/>
  <c r="I101" i="19"/>
  <c r="K101" i="19" s="1"/>
  <c r="L446" i="21"/>
  <c r="I199" i="13"/>
  <c r="K199" i="13" s="1"/>
  <c r="K240" i="19"/>
  <c r="I297" i="3"/>
  <c r="J484" i="1"/>
  <c r="L92" i="1"/>
  <c r="N92" i="1" s="1"/>
  <c r="I199" i="14"/>
  <c r="K199" i="14" s="1"/>
  <c r="K240" i="18"/>
  <c r="L132" i="1"/>
  <c r="N132" i="1" s="1"/>
  <c r="L230" i="2"/>
  <c r="N230" i="2" s="1"/>
  <c r="I311" i="4"/>
  <c r="I524" i="1"/>
  <c r="I444" i="14"/>
  <c r="K444" i="14" s="1"/>
  <c r="L428" i="15"/>
  <c r="N428" i="15" s="1"/>
  <c r="I47" i="1"/>
  <c r="K47" i="1" s="1"/>
  <c r="L201" i="4"/>
  <c r="N201" i="4" s="1"/>
  <c r="L216" i="6"/>
  <c r="L214" i="6" s="1"/>
  <c r="N214" i="6" s="1"/>
  <c r="K507" i="7"/>
  <c r="L9" i="8"/>
  <c r="L9" i="9"/>
  <c r="N9" i="9" s="1"/>
  <c r="L187" i="10"/>
  <c r="L185" i="10" s="1"/>
  <c r="N185" i="10" s="1"/>
  <c r="L216" i="13"/>
  <c r="N216" i="13" s="1"/>
  <c r="L74" i="16"/>
  <c r="N74" i="16" s="1"/>
  <c r="N188" i="18"/>
  <c r="I32" i="19"/>
  <c r="I297" i="21"/>
  <c r="L13" i="1"/>
  <c r="N13" i="1" s="1"/>
  <c r="L172" i="1"/>
  <c r="N172" i="1" s="1"/>
  <c r="J237" i="1"/>
  <c r="J489" i="1"/>
  <c r="K528" i="2"/>
  <c r="I21" i="8"/>
  <c r="K21" i="8" s="1"/>
  <c r="L187" i="8"/>
  <c r="N187" i="8" s="1"/>
  <c r="I101" i="13"/>
  <c r="K101" i="13" s="1"/>
  <c r="I270" i="14"/>
  <c r="K270" i="14" s="1"/>
  <c r="L428" i="16"/>
  <c r="N428" i="16" s="1"/>
  <c r="L32" i="21"/>
  <c r="N32" i="21" s="1"/>
  <c r="I275" i="21"/>
  <c r="K275" i="21" s="1"/>
  <c r="L35" i="1"/>
  <c r="N35" i="1" s="1"/>
  <c r="L104" i="1"/>
  <c r="N104" i="1" s="1"/>
  <c r="I199" i="4"/>
  <c r="K199" i="4" s="1"/>
  <c r="K525" i="9"/>
  <c r="L9" i="12"/>
  <c r="K525" i="16"/>
  <c r="I457" i="19"/>
  <c r="K457" i="19" s="1"/>
  <c r="I26" i="1"/>
  <c r="K26" i="1" s="1"/>
  <c r="I317" i="1"/>
  <c r="K317" i="1" s="1"/>
  <c r="N132" i="2"/>
  <c r="I20" i="4"/>
  <c r="I9" i="4" s="1"/>
  <c r="K9" i="4" s="1"/>
  <c r="K224" i="4"/>
  <c r="N248" i="9"/>
  <c r="K291" i="10"/>
  <c r="L216" i="11"/>
  <c r="K98" i="16"/>
  <c r="I297" i="19"/>
  <c r="N132" i="20"/>
  <c r="L187" i="20"/>
  <c r="N187" i="20" s="1"/>
  <c r="I522" i="1"/>
  <c r="K528" i="21"/>
  <c r="I199" i="22"/>
  <c r="K199" i="22" s="1"/>
  <c r="L173" i="1"/>
  <c r="N173" i="1" s="1"/>
  <c r="J241" i="1"/>
  <c r="K524" i="3"/>
  <c r="J312" i="5"/>
  <c r="I490" i="7"/>
  <c r="K490" i="7" s="1"/>
  <c r="I245" i="8"/>
  <c r="K245" i="8" s="1"/>
  <c r="I350" i="8"/>
  <c r="K350" i="8" s="1"/>
  <c r="I276" i="12"/>
  <c r="K276" i="12" s="1"/>
  <c r="K392" i="18"/>
  <c r="N447" i="21"/>
  <c r="K473" i="21"/>
  <c r="L216" i="22"/>
  <c r="N216" i="22" s="1"/>
  <c r="I180" i="1"/>
  <c r="K180" i="1" s="1"/>
  <c r="L72" i="1"/>
  <c r="N72" i="1" s="1"/>
  <c r="J235" i="1"/>
  <c r="K512" i="7"/>
  <c r="N188" i="9"/>
  <c r="I321" i="1"/>
  <c r="L216" i="14"/>
  <c r="L9" i="17"/>
  <c r="N9" i="17" s="1"/>
  <c r="L230" i="19"/>
  <c r="L228" i="19" s="1"/>
  <c r="N228" i="19" s="1"/>
  <c r="I350" i="22"/>
  <c r="K350" i="22" s="1"/>
  <c r="I126" i="1"/>
  <c r="K126" i="1" s="1"/>
  <c r="J239" i="1"/>
  <c r="J485" i="1"/>
  <c r="J473" i="1"/>
  <c r="I426" i="5"/>
  <c r="K426" i="5" s="1"/>
  <c r="L55" i="1"/>
  <c r="N55" i="1" s="1"/>
  <c r="K240" i="7"/>
  <c r="I444" i="7"/>
  <c r="K444" i="7" s="1"/>
  <c r="L492" i="7"/>
  <c r="N492" i="7" s="1"/>
  <c r="K524" i="7"/>
  <c r="I245" i="11"/>
  <c r="K245" i="11" s="1"/>
  <c r="I101" i="14"/>
  <c r="K101" i="14" s="1"/>
  <c r="L201" i="14"/>
  <c r="N201" i="14" s="1"/>
  <c r="L446" i="14"/>
  <c r="N446" i="14" s="1"/>
  <c r="K521" i="18"/>
  <c r="I426" i="20"/>
  <c r="K426" i="20" s="1"/>
  <c r="K488" i="21"/>
  <c r="K528" i="22"/>
  <c r="L300" i="1"/>
  <c r="N300" i="1" s="1"/>
  <c r="I292" i="1"/>
  <c r="K292" i="1" s="1"/>
  <c r="I473" i="5"/>
  <c r="K473" i="5" s="1"/>
  <c r="L73" i="9"/>
  <c r="N73" i="9" s="1"/>
  <c r="I316" i="1"/>
  <c r="K240" i="11"/>
  <c r="I270" i="12"/>
  <c r="K270" i="12" s="1"/>
  <c r="L278" i="18"/>
  <c r="N278" i="18" s="1"/>
  <c r="K527" i="21"/>
  <c r="I125" i="1"/>
  <c r="K125" i="1" s="1"/>
  <c r="K195" i="6"/>
  <c r="I185" i="6"/>
  <c r="K185" i="6" s="1"/>
  <c r="L299" i="7"/>
  <c r="L296" i="7" s="1"/>
  <c r="N296" i="7" s="1"/>
  <c r="N300" i="7"/>
  <c r="L9" i="16"/>
  <c r="N9" i="16" s="1"/>
  <c r="N280" i="17"/>
  <c r="L278" i="17"/>
  <c r="L76" i="21"/>
  <c r="N76" i="21" s="1"/>
  <c r="N77" i="21"/>
  <c r="L12" i="1"/>
  <c r="N12" i="1" s="1"/>
  <c r="I27" i="1"/>
  <c r="K27" i="1" s="1"/>
  <c r="I110" i="1"/>
  <c r="K110" i="1" s="1"/>
  <c r="L280" i="1"/>
  <c r="N280" i="1" s="1"/>
  <c r="L334" i="1"/>
  <c r="I245" i="2"/>
  <c r="K245" i="2" s="1"/>
  <c r="K466" i="2"/>
  <c r="J523" i="1"/>
  <c r="J527" i="1"/>
  <c r="I345" i="1"/>
  <c r="K345" i="1" s="1"/>
  <c r="N12" i="4"/>
  <c r="K98" i="4"/>
  <c r="I48" i="1"/>
  <c r="K48" i="1" s="1"/>
  <c r="N203" i="6"/>
  <c r="L201" i="6"/>
  <c r="N201" i="6" s="1"/>
  <c r="I426" i="8"/>
  <c r="K426" i="8" s="1"/>
  <c r="K440" i="8"/>
  <c r="K195" i="9"/>
  <c r="I185" i="9"/>
  <c r="K185" i="9" s="1"/>
  <c r="K359" i="10"/>
  <c r="I350" i="10"/>
  <c r="K350" i="10" s="1"/>
  <c r="K209" i="11"/>
  <c r="I199" i="11"/>
  <c r="K199" i="11" s="1"/>
  <c r="K98" i="12"/>
  <c r="I89" i="12"/>
  <c r="K89" i="12" s="1"/>
  <c r="I444" i="12"/>
  <c r="K444" i="12" s="1"/>
  <c r="L76" i="14"/>
  <c r="L74" i="14" s="1"/>
  <c r="N74" i="14" s="1"/>
  <c r="K209" i="16"/>
  <c r="I199" i="16"/>
  <c r="K199" i="16" s="1"/>
  <c r="K519" i="19"/>
  <c r="K518" i="19"/>
  <c r="K516" i="19"/>
  <c r="N148" i="20"/>
  <c r="L146" i="20"/>
  <c r="N146" i="20" s="1"/>
  <c r="K48" i="21"/>
  <c r="I33" i="21"/>
  <c r="K33" i="21" s="1"/>
  <c r="I214" i="22"/>
  <c r="K214" i="22" s="1"/>
  <c r="K224" i="22"/>
  <c r="I265" i="22"/>
  <c r="K265" i="22" s="1"/>
  <c r="I245" i="22"/>
  <c r="K245" i="22" s="1"/>
  <c r="L131" i="6"/>
  <c r="N131" i="6" s="1"/>
  <c r="N132" i="6"/>
  <c r="I270" i="10"/>
  <c r="K270" i="10" s="1"/>
  <c r="K271" i="10"/>
  <c r="L14" i="1"/>
  <c r="N14" i="1" s="1"/>
  <c r="I22" i="1"/>
  <c r="K22" i="1" s="1"/>
  <c r="L77" i="1"/>
  <c r="N77" i="1" s="1"/>
  <c r="I182" i="1"/>
  <c r="K182" i="1" s="1"/>
  <c r="I313" i="1"/>
  <c r="K313" i="1" s="1"/>
  <c r="I319" i="1"/>
  <c r="K319" i="1" s="1"/>
  <c r="I391" i="1"/>
  <c r="J236" i="1"/>
  <c r="J238" i="1"/>
  <c r="J234" i="1"/>
  <c r="I238" i="1"/>
  <c r="I240" i="1"/>
  <c r="L476" i="1"/>
  <c r="N476" i="1" s="1"/>
  <c r="K528" i="3"/>
  <c r="I33" i="4"/>
  <c r="K33" i="4" s="1"/>
  <c r="I44" i="1"/>
  <c r="K44" i="1" s="1"/>
  <c r="I360" i="1"/>
  <c r="K360" i="1" s="1"/>
  <c r="J412" i="1"/>
  <c r="K519" i="6"/>
  <c r="K518" i="6"/>
  <c r="K292" i="7"/>
  <c r="I275" i="7"/>
  <c r="K275" i="7" s="1"/>
  <c r="L428" i="8"/>
  <c r="N428" i="8" s="1"/>
  <c r="N429" i="8"/>
  <c r="N12" i="11"/>
  <c r="L9" i="11"/>
  <c r="N9" i="11" s="1"/>
  <c r="K62" i="12"/>
  <c r="I63" i="12"/>
  <c r="K63" i="12" s="1"/>
  <c r="N218" i="12"/>
  <c r="L216" i="12"/>
  <c r="N216" i="12" s="1"/>
  <c r="I275" i="12"/>
  <c r="K275" i="12" s="1"/>
  <c r="K506" i="13"/>
  <c r="K511" i="13"/>
  <c r="I276" i="14"/>
  <c r="K276" i="14" s="1"/>
  <c r="N12" i="15"/>
  <c r="L9" i="15"/>
  <c r="N9" i="15" s="1"/>
  <c r="I426" i="16"/>
  <c r="K426" i="16" s="1"/>
  <c r="N148" i="19"/>
  <c r="L146" i="19"/>
  <c r="L144" i="19" s="1"/>
  <c r="N144" i="19" s="1"/>
  <c r="I89" i="21"/>
  <c r="K89" i="21" s="1"/>
  <c r="N429" i="21"/>
  <c r="L428" i="21"/>
  <c r="L426" i="21" s="1"/>
  <c r="N426" i="21" s="1"/>
  <c r="K509" i="22"/>
  <c r="K512" i="22"/>
  <c r="N148" i="4"/>
  <c r="L146" i="4"/>
  <c r="K209" i="5"/>
  <c r="I199" i="5"/>
  <c r="K199" i="5" s="1"/>
  <c r="I101" i="12"/>
  <c r="K101" i="12" s="1"/>
  <c r="K209" i="12"/>
  <c r="I199" i="12"/>
  <c r="K199" i="12" s="1"/>
  <c r="L76" i="13"/>
  <c r="N76" i="13" s="1"/>
  <c r="N77" i="13"/>
  <c r="I276" i="20"/>
  <c r="K276" i="20" s="1"/>
  <c r="K291" i="20"/>
  <c r="I368" i="22"/>
  <c r="K368" i="22" s="1"/>
  <c r="I376" i="22"/>
  <c r="K376" i="22" s="1"/>
  <c r="I24" i="1"/>
  <c r="K24" i="1" s="1"/>
  <c r="I181" i="1"/>
  <c r="K181" i="1" s="1"/>
  <c r="L218" i="1"/>
  <c r="N218" i="1" s="1"/>
  <c r="L231" i="1"/>
  <c r="N231" i="1" s="1"/>
  <c r="I235" i="1"/>
  <c r="I268" i="1"/>
  <c r="K268" i="1" s="1"/>
  <c r="I324" i="1"/>
  <c r="K324" i="1" s="1"/>
  <c r="J488" i="1"/>
  <c r="L187" i="2"/>
  <c r="L185" i="2" s="1"/>
  <c r="N185" i="2" s="1"/>
  <c r="I276" i="2"/>
  <c r="K276" i="2" s="1"/>
  <c r="L299" i="2"/>
  <c r="N299" i="2" s="1"/>
  <c r="I89" i="3"/>
  <c r="K89" i="3" s="1"/>
  <c r="I311" i="3"/>
  <c r="L428" i="3"/>
  <c r="N428" i="3" s="1"/>
  <c r="K22" i="4"/>
  <c r="I62" i="1"/>
  <c r="K62" i="1" s="1"/>
  <c r="K138" i="5"/>
  <c r="I129" i="5"/>
  <c r="K129" i="5" s="1"/>
  <c r="K291" i="5"/>
  <c r="I276" i="5"/>
  <c r="K276" i="5" s="1"/>
  <c r="I199" i="6"/>
  <c r="K199" i="6" s="1"/>
  <c r="K315" i="6"/>
  <c r="J312" i="6"/>
  <c r="K312" i="6" s="1"/>
  <c r="N35" i="9"/>
  <c r="L32" i="9"/>
  <c r="N32" i="9" s="1"/>
  <c r="I185" i="10"/>
  <c r="K185" i="10" s="1"/>
  <c r="K195" i="10"/>
  <c r="L76" i="12"/>
  <c r="L74" i="12" s="1"/>
  <c r="N74" i="12" s="1"/>
  <c r="L247" i="13"/>
  <c r="N247" i="13" s="1"/>
  <c r="K505" i="13"/>
  <c r="I129" i="14"/>
  <c r="K129" i="14" s="1"/>
  <c r="K511" i="15"/>
  <c r="K466" i="18"/>
  <c r="I457" i="18"/>
  <c r="K457" i="18" s="1"/>
  <c r="K209" i="19"/>
  <c r="I199" i="19"/>
  <c r="K199" i="19" s="1"/>
  <c r="I350" i="19"/>
  <c r="K350" i="19" s="1"/>
  <c r="I368" i="19"/>
  <c r="K368" i="19" s="1"/>
  <c r="K83" i="21"/>
  <c r="I74" i="21"/>
  <c r="K74" i="21" s="1"/>
  <c r="K518" i="21"/>
  <c r="K516" i="21"/>
  <c r="K504" i="22"/>
  <c r="L131" i="4"/>
  <c r="N131" i="4" s="1"/>
  <c r="I74" i="5"/>
  <c r="K74" i="5" s="1"/>
  <c r="I311" i="5"/>
  <c r="J414" i="1"/>
  <c r="L475" i="5"/>
  <c r="N475" i="5" s="1"/>
  <c r="I297" i="6"/>
  <c r="J312" i="7"/>
  <c r="K312" i="7" s="1"/>
  <c r="K526" i="9"/>
  <c r="K522" i="10"/>
  <c r="K238" i="11"/>
  <c r="K522" i="11"/>
  <c r="K390" i="12"/>
  <c r="L446" i="12"/>
  <c r="N446" i="12" s="1"/>
  <c r="K486" i="12"/>
  <c r="K526" i="14"/>
  <c r="K528" i="14"/>
  <c r="K238" i="15"/>
  <c r="J321" i="15"/>
  <c r="K321" i="15" s="1"/>
  <c r="I129" i="16"/>
  <c r="K129" i="16" s="1"/>
  <c r="K523" i="17"/>
  <c r="K525" i="17"/>
  <c r="K527" i="17"/>
  <c r="I297" i="18"/>
  <c r="K521" i="19"/>
  <c r="L492" i="21"/>
  <c r="N492" i="21" s="1"/>
  <c r="I315" i="1"/>
  <c r="K315" i="1" s="1"/>
  <c r="K525" i="4"/>
  <c r="I527" i="1"/>
  <c r="K238" i="5"/>
  <c r="K240" i="5"/>
  <c r="K528" i="6"/>
  <c r="J325" i="8"/>
  <c r="L492" i="8"/>
  <c r="L490" i="8" s="1"/>
  <c r="N490" i="8" s="1"/>
  <c r="K521" i="8"/>
  <c r="L76" i="10"/>
  <c r="L74" i="10" s="1"/>
  <c r="N74" i="10" s="1"/>
  <c r="L492" i="10"/>
  <c r="N492" i="10" s="1"/>
  <c r="K235" i="12"/>
  <c r="L278" i="12"/>
  <c r="N278" i="12" s="1"/>
  <c r="L299" i="12"/>
  <c r="L296" i="12" s="1"/>
  <c r="N296" i="12" s="1"/>
  <c r="K522" i="13"/>
  <c r="K524" i="13"/>
  <c r="K526" i="13"/>
  <c r="K511" i="18"/>
  <c r="L247" i="22"/>
  <c r="N247" i="22" s="1"/>
  <c r="K240" i="2"/>
  <c r="J240" i="1"/>
  <c r="N249" i="2"/>
  <c r="L249" i="1"/>
  <c r="N249" i="1" s="1"/>
  <c r="K266" i="2"/>
  <c r="I266" i="1"/>
  <c r="K266" i="1" s="1"/>
  <c r="K272" i="2"/>
  <c r="I272" i="1"/>
  <c r="K272" i="1" s="1"/>
  <c r="I350" i="2"/>
  <c r="K350" i="2" s="1"/>
  <c r="I359" i="1"/>
  <c r="K392" i="2"/>
  <c r="I392" i="1"/>
  <c r="K392" i="1" s="1"/>
  <c r="N447" i="2"/>
  <c r="L447" i="1"/>
  <c r="N447" i="1" s="1"/>
  <c r="I228" i="3"/>
  <c r="K228" i="3" s="1"/>
  <c r="I236" i="1"/>
  <c r="K291" i="3"/>
  <c r="I291" i="1"/>
  <c r="K291" i="1" s="1"/>
  <c r="L232" i="1"/>
  <c r="N232" i="1" s="1"/>
  <c r="K291" i="4"/>
  <c r="I276" i="4"/>
  <c r="K276" i="4" s="1"/>
  <c r="L494" i="1"/>
  <c r="N494" i="1" s="1"/>
  <c r="K327" i="2"/>
  <c r="I327" i="1"/>
  <c r="K327" i="1" s="1"/>
  <c r="I101" i="3"/>
  <c r="K101" i="3" s="1"/>
  <c r="I111" i="1"/>
  <c r="K111" i="1" s="1"/>
  <c r="K179" i="3"/>
  <c r="I179" i="1"/>
  <c r="K179" i="1" s="1"/>
  <c r="K292" i="5"/>
  <c r="I275" i="5"/>
  <c r="K275" i="5" s="1"/>
  <c r="I89" i="2"/>
  <c r="K89" i="2" s="1"/>
  <c r="I98" i="1"/>
  <c r="K98" i="1" s="1"/>
  <c r="K98" i="2"/>
  <c r="K209" i="2"/>
  <c r="I209" i="1"/>
  <c r="K209" i="1" s="1"/>
  <c r="N279" i="2"/>
  <c r="L279" i="1"/>
  <c r="N279" i="1" s="1"/>
  <c r="K292" i="2"/>
  <c r="I275" i="2"/>
  <c r="K275" i="2" s="1"/>
  <c r="I214" i="3"/>
  <c r="K214" i="3" s="1"/>
  <c r="K224" i="3"/>
  <c r="K25" i="4"/>
  <c r="I25" i="1"/>
  <c r="K25" i="1" s="1"/>
  <c r="I21" i="4"/>
  <c r="K21" i="4" s="1"/>
  <c r="K138" i="4"/>
  <c r="I129" i="4"/>
  <c r="K129" i="4" s="1"/>
  <c r="I149" i="4"/>
  <c r="I144" i="4" s="1"/>
  <c r="K144" i="4" s="1"/>
  <c r="I155" i="1"/>
  <c r="K155" i="1" s="1"/>
  <c r="I418" i="4"/>
  <c r="I418" i="1" s="1"/>
  <c r="K418" i="1" s="1"/>
  <c r="J416" i="1"/>
  <c r="N12" i="5"/>
  <c r="L9" i="5"/>
  <c r="N9" i="5" s="1"/>
  <c r="K23" i="5"/>
  <c r="I23" i="1"/>
  <c r="K23" i="1" s="1"/>
  <c r="K45" i="5"/>
  <c r="I45" i="1"/>
  <c r="K45" i="1" s="1"/>
  <c r="K124" i="5"/>
  <c r="I124" i="1"/>
  <c r="K124" i="1" s="1"/>
  <c r="K260" i="5"/>
  <c r="I260" i="1"/>
  <c r="K260" i="1" s="1"/>
  <c r="N37" i="2"/>
  <c r="L37" i="1"/>
  <c r="N37" i="1" s="1"/>
  <c r="K46" i="2"/>
  <c r="I46" i="1"/>
  <c r="K46" i="1" s="1"/>
  <c r="N56" i="2"/>
  <c r="L56" i="1"/>
  <c r="N56" i="1" s="1"/>
  <c r="K83" i="2"/>
  <c r="I83" i="1"/>
  <c r="K83" i="1" s="1"/>
  <c r="K138" i="3"/>
  <c r="I138" i="1"/>
  <c r="K138" i="1" s="1"/>
  <c r="I129" i="3"/>
  <c r="K129" i="3" s="1"/>
  <c r="K141" i="3"/>
  <c r="I141" i="1"/>
  <c r="K141" i="1" s="1"/>
  <c r="K211" i="3"/>
  <c r="I211" i="1"/>
  <c r="K211" i="1" s="1"/>
  <c r="K487" i="4"/>
  <c r="I487" i="1"/>
  <c r="K487" i="1" s="1"/>
  <c r="L117" i="1"/>
  <c r="N117" i="1" s="1"/>
  <c r="I224" i="1"/>
  <c r="K224" i="1" s="1"/>
  <c r="L475" i="2"/>
  <c r="N475" i="2" s="1"/>
  <c r="N12" i="3"/>
  <c r="L460" i="1"/>
  <c r="N460" i="1" s="1"/>
  <c r="L73" i="4"/>
  <c r="N73" i="4" s="1"/>
  <c r="L171" i="4"/>
  <c r="N171" i="4" s="1"/>
  <c r="K111" i="6"/>
  <c r="I169" i="6"/>
  <c r="K169" i="6" s="1"/>
  <c r="J316" i="6"/>
  <c r="K316" i="6" s="1"/>
  <c r="L32" i="7"/>
  <c r="N32" i="7" s="1"/>
  <c r="I245" i="7"/>
  <c r="K245" i="7" s="1"/>
  <c r="L247" i="7"/>
  <c r="N247" i="7" s="1"/>
  <c r="L278" i="7"/>
  <c r="N278" i="7" s="1"/>
  <c r="K455" i="7"/>
  <c r="L299" i="8"/>
  <c r="N299" i="8" s="1"/>
  <c r="K528" i="8"/>
  <c r="K98" i="9"/>
  <c r="L428" i="9"/>
  <c r="N428" i="9" s="1"/>
  <c r="I444" i="9"/>
  <c r="K444" i="9" s="1"/>
  <c r="N493" i="10"/>
  <c r="K513" i="10"/>
  <c r="I312" i="1"/>
  <c r="L32" i="2"/>
  <c r="N32" i="2" s="1"/>
  <c r="N188" i="2"/>
  <c r="I214" i="2"/>
  <c r="K214" i="2" s="1"/>
  <c r="K224" i="2"/>
  <c r="I419" i="1"/>
  <c r="K419" i="1" s="1"/>
  <c r="J528" i="1"/>
  <c r="I297" i="4"/>
  <c r="I473" i="4"/>
  <c r="K473" i="4" s="1"/>
  <c r="K528" i="4"/>
  <c r="I275" i="6"/>
  <c r="K275" i="6" s="1"/>
  <c r="L76" i="7"/>
  <c r="L74" i="7" s="1"/>
  <c r="I101" i="7"/>
  <c r="K101" i="7" s="1"/>
  <c r="L187" i="7"/>
  <c r="N187" i="7" s="1"/>
  <c r="N248" i="7"/>
  <c r="N279" i="7"/>
  <c r="K291" i="7"/>
  <c r="K359" i="7"/>
  <c r="I369" i="7"/>
  <c r="K369" i="7" s="1"/>
  <c r="I376" i="7"/>
  <c r="K376" i="7" s="1"/>
  <c r="L32" i="8"/>
  <c r="N32" i="8" s="1"/>
  <c r="L201" i="9"/>
  <c r="N201" i="9" s="1"/>
  <c r="L299" i="9"/>
  <c r="N299" i="9" s="1"/>
  <c r="L492" i="9"/>
  <c r="N492" i="9" s="1"/>
  <c r="K521" i="9"/>
  <c r="K523" i="9"/>
  <c r="L131" i="10"/>
  <c r="N131" i="10" s="1"/>
  <c r="I214" i="10"/>
  <c r="K214" i="10" s="1"/>
  <c r="I440" i="1"/>
  <c r="K440" i="1" s="1"/>
  <c r="I21" i="2"/>
  <c r="K21" i="2" s="1"/>
  <c r="L201" i="2"/>
  <c r="L199" i="2" s="1"/>
  <c r="N199" i="2" s="1"/>
  <c r="K525" i="2"/>
  <c r="N132" i="3"/>
  <c r="L146" i="3"/>
  <c r="L144" i="3" s="1"/>
  <c r="N144" i="3" s="1"/>
  <c r="I199" i="3"/>
  <c r="K199" i="3" s="1"/>
  <c r="L492" i="3"/>
  <c r="L490" i="3" s="1"/>
  <c r="N490" i="3" s="1"/>
  <c r="K525" i="3"/>
  <c r="I275" i="4"/>
  <c r="K275" i="4" s="1"/>
  <c r="K235" i="6"/>
  <c r="L278" i="6"/>
  <c r="N278" i="6" s="1"/>
  <c r="K522" i="6"/>
  <c r="K524" i="6"/>
  <c r="K522" i="8"/>
  <c r="I101" i="10"/>
  <c r="K101" i="10" s="1"/>
  <c r="I228" i="10"/>
  <c r="K228" i="10" s="1"/>
  <c r="I52" i="11"/>
  <c r="K52" i="11" s="1"/>
  <c r="I63" i="11"/>
  <c r="K63" i="11" s="1"/>
  <c r="I267" i="12"/>
  <c r="K267" i="12" s="1"/>
  <c r="K271" i="12"/>
  <c r="K525" i="12"/>
  <c r="I270" i="15"/>
  <c r="K270" i="15" s="1"/>
  <c r="N429" i="15"/>
  <c r="K511" i="19"/>
  <c r="L76" i="11"/>
  <c r="L74" i="11" s="1"/>
  <c r="N74" i="11" s="1"/>
  <c r="N447" i="12"/>
  <c r="K453" i="12"/>
  <c r="K513" i="12"/>
  <c r="I129" i="13"/>
  <c r="K129" i="13" s="1"/>
  <c r="I270" i="13"/>
  <c r="K270" i="13" s="1"/>
  <c r="I52" i="14"/>
  <c r="K52" i="14" s="1"/>
  <c r="K271" i="14"/>
  <c r="L492" i="14"/>
  <c r="N492" i="14" s="1"/>
  <c r="L187" i="15"/>
  <c r="N187" i="15" s="1"/>
  <c r="K505" i="15"/>
  <c r="I74" i="16"/>
  <c r="K74" i="16" s="1"/>
  <c r="L144" i="16"/>
  <c r="N144" i="16" s="1"/>
  <c r="L201" i="16"/>
  <c r="I214" i="16"/>
  <c r="K214" i="16" s="1"/>
  <c r="K392" i="16"/>
  <c r="I444" i="17"/>
  <c r="K444" i="17" s="1"/>
  <c r="L103" i="18"/>
  <c r="L101" i="18" s="1"/>
  <c r="N101" i="18" s="1"/>
  <c r="I114" i="18"/>
  <c r="K114" i="18" s="1"/>
  <c r="N279" i="18"/>
  <c r="K291" i="18"/>
  <c r="I296" i="18"/>
  <c r="K296" i="18" s="1"/>
  <c r="I369" i="18"/>
  <c r="K369" i="18" s="1"/>
  <c r="L428" i="18"/>
  <c r="L426" i="18" s="1"/>
  <c r="N426" i="18" s="1"/>
  <c r="K506" i="18"/>
  <c r="K523" i="18"/>
  <c r="L9" i="19"/>
  <c r="N9" i="19" s="1"/>
  <c r="K180" i="19"/>
  <c r="K482" i="19"/>
  <c r="K486" i="19"/>
  <c r="L103" i="20"/>
  <c r="K125" i="20"/>
  <c r="I344" i="20"/>
  <c r="K344" i="20" s="1"/>
  <c r="N132" i="21"/>
  <c r="I185" i="21"/>
  <c r="K185" i="21" s="1"/>
  <c r="L216" i="21"/>
  <c r="N216" i="21" s="1"/>
  <c r="K235" i="21"/>
  <c r="I276" i="21"/>
  <c r="K276" i="21" s="1"/>
  <c r="K519" i="21"/>
  <c r="K516" i="22"/>
  <c r="L187" i="11"/>
  <c r="L185" i="11" s="1"/>
  <c r="N185" i="11" s="1"/>
  <c r="K521" i="11"/>
  <c r="L230" i="12"/>
  <c r="N230" i="12" s="1"/>
  <c r="K518" i="12"/>
  <c r="L299" i="13"/>
  <c r="N299" i="13" s="1"/>
  <c r="L428" i="13"/>
  <c r="N428" i="13" s="1"/>
  <c r="I457" i="13"/>
  <c r="K457" i="13" s="1"/>
  <c r="I129" i="15"/>
  <c r="K129" i="15" s="1"/>
  <c r="L247" i="15"/>
  <c r="N247" i="15" s="1"/>
  <c r="I267" i="15"/>
  <c r="K267" i="15" s="1"/>
  <c r="N132" i="16"/>
  <c r="I297" i="16"/>
  <c r="I473" i="16"/>
  <c r="K473" i="16" s="1"/>
  <c r="L32" i="17"/>
  <c r="N32" i="17" s="1"/>
  <c r="K98" i="17"/>
  <c r="I199" i="17"/>
  <c r="K199" i="17" s="1"/>
  <c r="K455" i="17"/>
  <c r="I89" i="18"/>
  <c r="K89" i="18" s="1"/>
  <c r="K486" i="18"/>
  <c r="K514" i="19"/>
  <c r="K525" i="19"/>
  <c r="K98" i="20"/>
  <c r="I149" i="20"/>
  <c r="I144" i="20" s="1"/>
  <c r="K512" i="21"/>
  <c r="K238" i="12"/>
  <c r="K512" i="12"/>
  <c r="I267" i="13"/>
  <c r="K267" i="13" s="1"/>
  <c r="K526" i="17"/>
  <c r="L201" i="18"/>
  <c r="N201" i="18" s="1"/>
  <c r="I21" i="19"/>
  <c r="K21" i="19" s="1"/>
  <c r="L247" i="19"/>
  <c r="L244" i="19" s="1"/>
  <c r="N244" i="19" s="1"/>
  <c r="K513" i="19"/>
  <c r="K515" i="19"/>
  <c r="K517" i="19"/>
  <c r="I74" i="20"/>
  <c r="K74" i="20" s="1"/>
  <c r="I129" i="21"/>
  <c r="K129" i="21" s="1"/>
  <c r="N493" i="21"/>
  <c r="K48" i="2"/>
  <c r="I33" i="2"/>
  <c r="K33" i="2" s="1"/>
  <c r="I296" i="2"/>
  <c r="K296" i="2" s="1"/>
  <c r="I473" i="2"/>
  <c r="K473" i="2" s="1"/>
  <c r="I484" i="1"/>
  <c r="I488" i="1"/>
  <c r="K488" i="2"/>
  <c r="K43" i="3"/>
  <c r="I43" i="1"/>
  <c r="K43" i="1" s="1"/>
  <c r="L76" i="3"/>
  <c r="N77" i="3"/>
  <c r="I265" i="3"/>
  <c r="K265" i="3" s="1"/>
  <c r="K263" i="3"/>
  <c r="I245" i="3"/>
  <c r="K245" i="3" s="1"/>
  <c r="I263" i="1"/>
  <c r="K263" i="1" s="1"/>
  <c r="I267" i="3"/>
  <c r="K267" i="3" s="1"/>
  <c r="K292" i="3"/>
  <c r="I275" i="3"/>
  <c r="K275" i="3" s="1"/>
  <c r="K126" i="4"/>
  <c r="N36" i="2"/>
  <c r="L36" i="1"/>
  <c r="N36" i="1" s="1"/>
  <c r="N77" i="2"/>
  <c r="L73" i="2"/>
  <c r="N73" i="2" s="1"/>
  <c r="L247" i="2"/>
  <c r="L248" i="1"/>
  <c r="N248" i="1" s="1"/>
  <c r="N248" i="2"/>
  <c r="I426" i="2"/>
  <c r="K426" i="2" s="1"/>
  <c r="K440" i="2"/>
  <c r="N231" i="3"/>
  <c r="L230" i="3"/>
  <c r="N230" i="3" s="1"/>
  <c r="K320" i="3"/>
  <c r="I320" i="1"/>
  <c r="K320" i="1" s="1"/>
  <c r="K323" i="3"/>
  <c r="I323" i="1"/>
  <c r="K323" i="1" s="1"/>
  <c r="N72" i="4"/>
  <c r="K180" i="4"/>
  <c r="I169" i="4"/>
  <c r="K169" i="4" s="1"/>
  <c r="K28" i="2"/>
  <c r="I28" i="1"/>
  <c r="K28" i="1" s="1"/>
  <c r="K140" i="2"/>
  <c r="I140" i="1"/>
  <c r="K140" i="1" s="1"/>
  <c r="N148" i="2"/>
  <c r="L148" i="1"/>
  <c r="N148" i="1" s="1"/>
  <c r="K195" i="2"/>
  <c r="I195" i="1"/>
  <c r="K195" i="1" s="1"/>
  <c r="L428" i="2"/>
  <c r="N428" i="2" s="1"/>
  <c r="N429" i="2"/>
  <c r="K523" i="2"/>
  <c r="I523" i="1"/>
  <c r="K271" i="3"/>
  <c r="I271" i="1"/>
  <c r="K271" i="1" s="1"/>
  <c r="N72" i="2"/>
  <c r="L187" i="3"/>
  <c r="N187" i="3" s="1"/>
  <c r="N188" i="3"/>
  <c r="L188" i="1"/>
  <c r="N188" i="1" s="1"/>
  <c r="I314" i="1"/>
  <c r="K314" i="1" s="1"/>
  <c r="K314" i="3"/>
  <c r="N430" i="3"/>
  <c r="L430" i="1"/>
  <c r="N430" i="1" s="1"/>
  <c r="L475" i="3"/>
  <c r="N475" i="3" s="1"/>
  <c r="N476" i="3"/>
  <c r="L187" i="13"/>
  <c r="L185" i="13" s="1"/>
  <c r="N185" i="13" s="1"/>
  <c r="N188" i="13"/>
  <c r="N231" i="14"/>
  <c r="L230" i="14"/>
  <c r="N230" i="14" s="1"/>
  <c r="L131" i="15"/>
  <c r="N131" i="15" s="1"/>
  <c r="N132" i="15"/>
  <c r="I21" i="16"/>
  <c r="K21" i="16" s="1"/>
  <c r="K27" i="16"/>
  <c r="L76" i="17"/>
  <c r="L74" i="17" s="1"/>
  <c r="N74" i="17" s="1"/>
  <c r="N77" i="17"/>
  <c r="N35" i="22"/>
  <c r="L32" i="22"/>
  <c r="N32" i="22" s="1"/>
  <c r="I293" i="1"/>
  <c r="K293" i="1" s="1"/>
  <c r="L301" i="1"/>
  <c r="N301" i="1" s="1"/>
  <c r="J228" i="2"/>
  <c r="K521" i="2"/>
  <c r="I33" i="3"/>
  <c r="K33" i="3" s="1"/>
  <c r="J321" i="3"/>
  <c r="K321" i="3" s="1"/>
  <c r="I457" i="3"/>
  <c r="K457" i="3" s="1"/>
  <c r="L76" i="4"/>
  <c r="L187" i="4"/>
  <c r="L185" i="4" s="1"/>
  <c r="N185" i="4" s="1"/>
  <c r="I344" i="4"/>
  <c r="K344" i="4" s="1"/>
  <c r="L144" i="5"/>
  <c r="N144" i="5" s="1"/>
  <c r="K228" i="5"/>
  <c r="I296" i="5"/>
  <c r="K296" i="5" s="1"/>
  <c r="I444" i="5"/>
  <c r="K444" i="5" s="1"/>
  <c r="K523" i="5"/>
  <c r="I20" i="6"/>
  <c r="K20" i="6" s="1"/>
  <c r="L32" i="6"/>
  <c r="N32" i="6" s="1"/>
  <c r="K83" i="6"/>
  <c r="L146" i="6"/>
  <c r="L144" i="6" s="1"/>
  <c r="N144" i="6" s="1"/>
  <c r="L299" i="6"/>
  <c r="N299" i="6" s="1"/>
  <c r="K390" i="6"/>
  <c r="K466" i="6"/>
  <c r="K516" i="6"/>
  <c r="I33" i="7"/>
  <c r="K33" i="7" s="1"/>
  <c r="K180" i="7"/>
  <c r="L216" i="7"/>
  <c r="N216" i="7" s="1"/>
  <c r="L230" i="7"/>
  <c r="L228" i="7" s="1"/>
  <c r="N228" i="7" s="1"/>
  <c r="I311" i="7"/>
  <c r="K392" i="7"/>
  <c r="K484" i="7"/>
  <c r="K25" i="8"/>
  <c r="I33" i="8"/>
  <c r="K33" i="8" s="1"/>
  <c r="I74" i="8"/>
  <c r="K74" i="8" s="1"/>
  <c r="K180" i="8"/>
  <c r="I376" i="8"/>
  <c r="K376" i="8" s="1"/>
  <c r="N493" i="8"/>
  <c r="I20" i="9"/>
  <c r="I9" i="9" s="1"/>
  <c r="K9" i="9" s="1"/>
  <c r="K111" i="9"/>
  <c r="K224" i="9"/>
  <c r="I267" i="9"/>
  <c r="K267" i="9" s="1"/>
  <c r="J312" i="9"/>
  <c r="N493" i="9"/>
  <c r="N188" i="10"/>
  <c r="L299" i="10"/>
  <c r="N299" i="10" s="1"/>
  <c r="K360" i="10"/>
  <c r="K525" i="10"/>
  <c r="I114" i="11"/>
  <c r="K114" i="11" s="1"/>
  <c r="K292" i="11"/>
  <c r="K518" i="11"/>
  <c r="K48" i="13"/>
  <c r="I33" i="13"/>
  <c r="K33" i="13" s="1"/>
  <c r="K125" i="14"/>
  <c r="I114" i="14"/>
  <c r="K114" i="14" s="1"/>
  <c r="N476" i="16"/>
  <c r="L475" i="16"/>
  <c r="N475" i="16" s="1"/>
  <c r="I214" i="17"/>
  <c r="K214" i="17" s="1"/>
  <c r="L131" i="19"/>
  <c r="N132" i="19"/>
  <c r="K129" i="20"/>
  <c r="I68" i="20"/>
  <c r="K68" i="20" s="1"/>
  <c r="N218" i="20"/>
  <c r="L216" i="20"/>
  <c r="L230" i="21"/>
  <c r="L228" i="21" s="1"/>
  <c r="N228" i="21" s="1"/>
  <c r="N231" i="21"/>
  <c r="L278" i="21"/>
  <c r="L275" i="21" s="1"/>
  <c r="N275" i="21" s="1"/>
  <c r="N279" i="21"/>
  <c r="N446" i="21"/>
  <c r="L444" i="21"/>
  <c r="N444" i="21" s="1"/>
  <c r="I411" i="1"/>
  <c r="K411" i="1" s="1"/>
  <c r="J415" i="1"/>
  <c r="I21" i="3"/>
  <c r="K21" i="3" s="1"/>
  <c r="I185" i="3"/>
  <c r="K185" i="3" s="1"/>
  <c r="K238" i="3"/>
  <c r="K240" i="3"/>
  <c r="L247" i="3"/>
  <c r="L244" i="3" s="1"/>
  <c r="N244" i="3" s="1"/>
  <c r="I270" i="3"/>
  <c r="K270" i="3" s="1"/>
  <c r="L299" i="3"/>
  <c r="N299" i="3" s="1"/>
  <c r="J312" i="3"/>
  <c r="K312" i="3" s="1"/>
  <c r="K521" i="3"/>
  <c r="K236" i="4"/>
  <c r="K240" i="4"/>
  <c r="J316" i="4"/>
  <c r="K316" i="4" s="1"/>
  <c r="K361" i="4"/>
  <c r="L475" i="4"/>
  <c r="N475" i="4" s="1"/>
  <c r="K523" i="4"/>
  <c r="I169" i="5"/>
  <c r="K169" i="5" s="1"/>
  <c r="I185" i="5"/>
  <c r="K185" i="5" s="1"/>
  <c r="K522" i="5"/>
  <c r="K524" i="5"/>
  <c r="N12" i="6"/>
  <c r="L247" i="6"/>
  <c r="N247" i="6" s="1"/>
  <c r="I325" i="6"/>
  <c r="I444" i="6"/>
  <c r="K444" i="6" s="1"/>
  <c r="N231" i="7"/>
  <c r="K235" i="7"/>
  <c r="K519" i="7"/>
  <c r="K528" i="7"/>
  <c r="L247" i="8"/>
  <c r="I267" i="8"/>
  <c r="K267" i="8" s="1"/>
  <c r="J312" i="8"/>
  <c r="K312" i="8" s="1"/>
  <c r="K359" i="8"/>
  <c r="I377" i="8"/>
  <c r="K377" i="8" s="1"/>
  <c r="I444" i="8"/>
  <c r="K444" i="8" s="1"/>
  <c r="I228" i="9"/>
  <c r="K228" i="9" s="1"/>
  <c r="K263" i="9"/>
  <c r="L278" i="9"/>
  <c r="N278" i="9" s="1"/>
  <c r="K315" i="9"/>
  <c r="I297" i="9"/>
  <c r="I262" i="10"/>
  <c r="I244" i="10" s="1"/>
  <c r="K244" i="10" s="1"/>
  <c r="I297" i="10"/>
  <c r="J325" i="10"/>
  <c r="K518" i="10"/>
  <c r="K526" i="10"/>
  <c r="K528" i="10"/>
  <c r="I169" i="11"/>
  <c r="K169" i="11" s="1"/>
  <c r="L299" i="11"/>
  <c r="N299" i="11" s="1"/>
  <c r="N429" i="11"/>
  <c r="N203" i="12"/>
  <c r="L201" i="12"/>
  <c r="L199" i="12" s="1"/>
  <c r="N199" i="12" s="1"/>
  <c r="N12" i="13"/>
  <c r="L9" i="13"/>
  <c r="N9" i="13" s="1"/>
  <c r="K125" i="13"/>
  <c r="I114" i="13"/>
  <c r="K114" i="13" s="1"/>
  <c r="I311" i="16"/>
  <c r="K48" i="17"/>
  <c r="I33" i="17"/>
  <c r="K33" i="17" s="1"/>
  <c r="L187" i="17"/>
  <c r="L185" i="17" s="1"/>
  <c r="N185" i="17" s="1"/>
  <c r="N188" i="17"/>
  <c r="I325" i="2"/>
  <c r="J483" i="1"/>
  <c r="J487" i="1"/>
  <c r="J524" i="1"/>
  <c r="J325" i="4"/>
  <c r="K522" i="4"/>
  <c r="K524" i="4"/>
  <c r="K526" i="4"/>
  <c r="I101" i="5"/>
  <c r="K101" i="5" s="1"/>
  <c r="K235" i="5"/>
  <c r="K525" i="6"/>
  <c r="K527" i="6"/>
  <c r="L428" i="7"/>
  <c r="L426" i="7" s="1"/>
  <c r="N426" i="7" s="1"/>
  <c r="K521" i="7"/>
  <c r="L230" i="8"/>
  <c r="N230" i="8" s="1"/>
  <c r="L278" i="8"/>
  <c r="L275" i="8" s="1"/>
  <c r="N275" i="8" s="1"/>
  <c r="I129" i="9"/>
  <c r="K129" i="9" s="1"/>
  <c r="K516" i="10"/>
  <c r="K514" i="11"/>
  <c r="K513" i="11"/>
  <c r="N131" i="16"/>
  <c r="L129" i="16"/>
  <c r="N129" i="16" s="1"/>
  <c r="I444" i="16"/>
  <c r="K444" i="16" s="1"/>
  <c r="K455" i="16"/>
  <c r="L492" i="16"/>
  <c r="L490" i="16" s="1"/>
  <c r="N490" i="16" s="1"/>
  <c r="N493" i="16"/>
  <c r="I267" i="17"/>
  <c r="K267" i="17" s="1"/>
  <c r="K263" i="17"/>
  <c r="I245" i="17"/>
  <c r="K245" i="17" s="1"/>
  <c r="K48" i="18"/>
  <c r="I33" i="18"/>
  <c r="K33" i="18" s="1"/>
  <c r="K326" i="18"/>
  <c r="I325" i="18"/>
  <c r="I245" i="12"/>
  <c r="K245" i="12" s="1"/>
  <c r="K263" i="12"/>
  <c r="J312" i="12"/>
  <c r="K312" i="12" s="1"/>
  <c r="K516" i="12"/>
  <c r="I245" i="13"/>
  <c r="K245" i="13" s="1"/>
  <c r="K263" i="13"/>
  <c r="L446" i="13"/>
  <c r="N446" i="13" s="1"/>
  <c r="L299" i="14"/>
  <c r="N299" i="14" s="1"/>
  <c r="K522" i="14"/>
  <c r="I245" i="15"/>
  <c r="K245" i="15" s="1"/>
  <c r="L446" i="15"/>
  <c r="N446" i="15" s="1"/>
  <c r="K522" i="15"/>
  <c r="I275" i="16"/>
  <c r="K275" i="16" s="1"/>
  <c r="K524" i="16"/>
  <c r="K526" i="16"/>
  <c r="K228" i="17"/>
  <c r="K236" i="17"/>
  <c r="K238" i="17"/>
  <c r="K240" i="17"/>
  <c r="L247" i="17"/>
  <c r="N247" i="17" s="1"/>
  <c r="I276" i="17"/>
  <c r="K276" i="17" s="1"/>
  <c r="K313" i="17"/>
  <c r="I296" i="17"/>
  <c r="K296" i="17" s="1"/>
  <c r="I199" i="18"/>
  <c r="K199" i="18" s="1"/>
  <c r="K209" i="18"/>
  <c r="L116" i="20"/>
  <c r="L114" i="20" s="1"/>
  <c r="N114" i="20" s="1"/>
  <c r="N117" i="20"/>
  <c r="I311" i="21"/>
  <c r="K312" i="21"/>
  <c r="I457" i="21"/>
  <c r="K457" i="21" s="1"/>
  <c r="K466" i="21"/>
  <c r="N460" i="22"/>
  <c r="L459" i="22"/>
  <c r="N459" i="22" s="1"/>
  <c r="L146" i="12"/>
  <c r="N146" i="12" s="1"/>
  <c r="K482" i="12"/>
  <c r="K390" i="14"/>
  <c r="K521" i="14"/>
  <c r="K523" i="14"/>
  <c r="K235" i="15"/>
  <c r="I296" i="15"/>
  <c r="K296" i="15" s="1"/>
  <c r="K521" i="16"/>
  <c r="I275" i="17"/>
  <c r="K275" i="17" s="1"/>
  <c r="L247" i="18"/>
  <c r="N248" i="18"/>
  <c r="K519" i="18"/>
  <c r="K515" i="18"/>
  <c r="K513" i="18"/>
  <c r="K517" i="18"/>
  <c r="K514" i="18"/>
  <c r="L299" i="19"/>
  <c r="L296" i="19" s="1"/>
  <c r="N296" i="19" s="1"/>
  <c r="N300" i="19"/>
  <c r="K526" i="19"/>
  <c r="K507" i="20"/>
  <c r="K512" i="20"/>
  <c r="K506" i="20"/>
  <c r="K240" i="21"/>
  <c r="L247" i="21"/>
  <c r="L244" i="21" s="1"/>
  <c r="N244" i="21" s="1"/>
  <c r="N248" i="21"/>
  <c r="N300" i="21"/>
  <c r="L299" i="21"/>
  <c r="N299" i="21" s="1"/>
  <c r="J312" i="22"/>
  <c r="K315" i="22"/>
  <c r="L492" i="12"/>
  <c r="N492" i="12" s="1"/>
  <c r="K522" i="12"/>
  <c r="K526" i="12"/>
  <c r="K527" i="13"/>
  <c r="K238" i="14"/>
  <c r="I20" i="17"/>
  <c r="K20" i="17" s="1"/>
  <c r="K235" i="17"/>
  <c r="K98" i="19"/>
  <c r="I89" i="19"/>
  <c r="K89" i="19" s="1"/>
  <c r="L187" i="19"/>
  <c r="N187" i="19" s="1"/>
  <c r="N188" i="19"/>
  <c r="K228" i="19"/>
  <c r="L76" i="20"/>
  <c r="L74" i="20" s="1"/>
  <c r="N74" i="20" s="1"/>
  <c r="N77" i="20"/>
  <c r="K453" i="20"/>
  <c r="I444" i="20"/>
  <c r="K444" i="20" s="1"/>
  <c r="L492" i="20"/>
  <c r="L490" i="20" s="1"/>
  <c r="N490" i="20" s="1"/>
  <c r="N493" i="20"/>
  <c r="K320" i="22"/>
  <c r="J316" i="22"/>
  <c r="K392" i="17"/>
  <c r="K521" i="17"/>
  <c r="K236" i="18"/>
  <c r="K238" i="18"/>
  <c r="K505" i="19"/>
  <c r="K361" i="20"/>
  <c r="I457" i="20"/>
  <c r="K457" i="20" s="1"/>
  <c r="K525" i="20"/>
  <c r="N12" i="21"/>
  <c r="L187" i="21"/>
  <c r="L185" i="21" s="1"/>
  <c r="N185" i="21" s="1"/>
  <c r="K263" i="21"/>
  <c r="K484" i="21"/>
  <c r="K506" i="21"/>
  <c r="K525" i="21"/>
  <c r="I33" i="22"/>
  <c r="K33" i="22" s="1"/>
  <c r="L76" i="22"/>
  <c r="L74" i="22" s="1"/>
  <c r="N74" i="22" s="1"/>
  <c r="I325" i="22"/>
  <c r="K325" i="22" s="1"/>
  <c r="L299" i="17"/>
  <c r="N299" i="17" s="1"/>
  <c r="K522" i="17"/>
  <c r="K524" i="17"/>
  <c r="I63" i="18"/>
  <c r="K63" i="18" s="1"/>
  <c r="L230" i="18"/>
  <c r="N230" i="18" s="1"/>
  <c r="K528" i="18"/>
  <c r="L76" i="19"/>
  <c r="I185" i="19"/>
  <c r="K185" i="19" s="1"/>
  <c r="K224" i="19"/>
  <c r="K235" i="19"/>
  <c r="K527" i="19"/>
  <c r="K195" i="20"/>
  <c r="L201" i="20"/>
  <c r="N201" i="20" s="1"/>
  <c r="K224" i="20"/>
  <c r="K522" i="20"/>
  <c r="K526" i="20"/>
  <c r="K528" i="20"/>
  <c r="J312" i="21"/>
  <c r="L475" i="21"/>
  <c r="N475" i="21" s="1"/>
  <c r="I490" i="21"/>
  <c r="K490" i="21" s="1"/>
  <c r="K522" i="21"/>
  <c r="K524" i="21"/>
  <c r="K526" i="21"/>
  <c r="K528" i="17"/>
  <c r="K235" i="18"/>
  <c r="K482" i="18"/>
  <c r="L446" i="19"/>
  <c r="N446" i="19" s="1"/>
  <c r="K522" i="19"/>
  <c r="K228" i="21"/>
  <c r="K238" i="21"/>
  <c r="K482" i="21"/>
  <c r="K514" i="22"/>
  <c r="K518" i="22"/>
  <c r="L76" i="2"/>
  <c r="L74" i="2" s="1"/>
  <c r="N74" i="2" s="1"/>
  <c r="I199" i="2"/>
  <c r="K236" i="2"/>
  <c r="K238" i="2"/>
  <c r="K263" i="2"/>
  <c r="L278" i="2"/>
  <c r="L275" i="2" s="1"/>
  <c r="N275" i="2" s="1"/>
  <c r="J325" i="2"/>
  <c r="K484" i="2"/>
  <c r="L492" i="2"/>
  <c r="L490" i="2" s="1"/>
  <c r="N490" i="2" s="1"/>
  <c r="K526" i="2"/>
  <c r="I169" i="3"/>
  <c r="K169" i="3" s="1"/>
  <c r="L216" i="3"/>
  <c r="K235" i="3"/>
  <c r="K315" i="3"/>
  <c r="K324" i="3"/>
  <c r="K321" i="8"/>
  <c r="J325" i="3"/>
  <c r="I325" i="3"/>
  <c r="L9" i="2"/>
  <c r="N9" i="2" s="1"/>
  <c r="N231" i="2"/>
  <c r="K326" i="2"/>
  <c r="I368" i="2"/>
  <c r="K368" i="2" s="1"/>
  <c r="N476" i="2"/>
  <c r="K111" i="3"/>
  <c r="N248" i="3"/>
  <c r="N300" i="3"/>
  <c r="K326" i="3"/>
  <c r="I20" i="2"/>
  <c r="K359" i="2"/>
  <c r="I376" i="2"/>
  <c r="K376" i="2" s="1"/>
  <c r="I444" i="2"/>
  <c r="K444" i="2" s="1"/>
  <c r="K522" i="2"/>
  <c r="I74" i="3"/>
  <c r="K74" i="3" s="1"/>
  <c r="K272" i="3"/>
  <c r="I276" i="3"/>
  <c r="K276" i="3" s="1"/>
  <c r="L278" i="3"/>
  <c r="L275" i="3" s="1"/>
  <c r="N275" i="3" s="1"/>
  <c r="N279" i="3"/>
  <c r="K523" i="3"/>
  <c r="I409" i="1"/>
  <c r="K409" i="1" s="1"/>
  <c r="J413" i="1"/>
  <c r="I441" i="1"/>
  <c r="K441" i="1" s="1"/>
  <c r="J486" i="1"/>
  <c r="I490" i="6"/>
  <c r="K490" i="6" s="1"/>
  <c r="K89" i="7"/>
  <c r="I267" i="7"/>
  <c r="K267" i="7" s="1"/>
  <c r="K522" i="7"/>
  <c r="K466" i="8"/>
  <c r="I457" i="8"/>
  <c r="K457" i="8" s="1"/>
  <c r="I473" i="8"/>
  <c r="K473" i="8" s="1"/>
  <c r="K484" i="8"/>
  <c r="L131" i="9"/>
  <c r="N131" i="9" s="1"/>
  <c r="N132" i="9"/>
  <c r="I169" i="9"/>
  <c r="K169" i="9" s="1"/>
  <c r="K180" i="9"/>
  <c r="K323" i="9"/>
  <c r="J321" i="9"/>
  <c r="K321" i="9" s="1"/>
  <c r="I376" i="9"/>
  <c r="K376" i="9" s="1"/>
  <c r="K359" i="9"/>
  <c r="I350" i="9"/>
  <c r="K350" i="9" s="1"/>
  <c r="I21" i="10"/>
  <c r="K21" i="10" s="1"/>
  <c r="K27" i="10"/>
  <c r="K361" i="10"/>
  <c r="I377" i="10"/>
  <c r="K377" i="10" s="1"/>
  <c r="I369" i="10"/>
  <c r="K369" i="10" s="1"/>
  <c r="L446" i="10"/>
  <c r="N446" i="10" s="1"/>
  <c r="N447" i="10"/>
  <c r="L247" i="11"/>
  <c r="N247" i="11" s="1"/>
  <c r="N248" i="11"/>
  <c r="I368" i="11"/>
  <c r="K368" i="11" s="1"/>
  <c r="K359" i="11"/>
  <c r="L446" i="11"/>
  <c r="N447" i="11"/>
  <c r="J525" i="1"/>
  <c r="K48" i="12"/>
  <c r="I33" i="12"/>
  <c r="K33" i="12" s="1"/>
  <c r="K138" i="12"/>
  <c r="I129" i="12"/>
  <c r="I325" i="12"/>
  <c r="I376" i="12"/>
  <c r="K376" i="12" s="1"/>
  <c r="I350" i="12"/>
  <c r="I368" i="12"/>
  <c r="K368" i="12" s="1"/>
  <c r="I368" i="3"/>
  <c r="K368" i="3" s="1"/>
  <c r="K392" i="3"/>
  <c r="I228" i="4"/>
  <c r="K228" i="4" s="1"/>
  <c r="K345" i="4"/>
  <c r="I444" i="4"/>
  <c r="K444" i="4" s="1"/>
  <c r="I490" i="4"/>
  <c r="K510" i="4"/>
  <c r="K527" i="4"/>
  <c r="I20" i="5"/>
  <c r="N132" i="5"/>
  <c r="K312" i="5"/>
  <c r="I490" i="5"/>
  <c r="K510" i="5"/>
  <c r="K527" i="5"/>
  <c r="K224" i="6"/>
  <c r="K240" i="6"/>
  <c r="I245" i="6"/>
  <c r="I267" i="6"/>
  <c r="K267" i="6" s="1"/>
  <c r="I368" i="6"/>
  <c r="K368" i="6" s="1"/>
  <c r="K453" i="6"/>
  <c r="K512" i="6"/>
  <c r="I21" i="7"/>
  <c r="K21" i="7" s="1"/>
  <c r="I265" i="7"/>
  <c r="K265" i="7" s="1"/>
  <c r="L76" i="8"/>
  <c r="I89" i="8"/>
  <c r="K89" i="8" s="1"/>
  <c r="N132" i="8"/>
  <c r="L146" i="8"/>
  <c r="K195" i="8"/>
  <c r="L216" i="8"/>
  <c r="N231" i="8"/>
  <c r="I265" i="8"/>
  <c r="K265" i="8" s="1"/>
  <c r="N279" i="8"/>
  <c r="K324" i="8"/>
  <c r="K326" i="8"/>
  <c r="K455" i="8"/>
  <c r="N476" i="8"/>
  <c r="L475" i="8"/>
  <c r="N475" i="8" s="1"/>
  <c r="I275" i="9"/>
  <c r="K275" i="9" s="1"/>
  <c r="K292" i="9"/>
  <c r="I169" i="10"/>
  <c r="K169" i="10" s="1"/>
  <c r="K180" i="10"/>
  <c r="L230" i="10"/>
  <c r="N230" i="10" s="1"/>
  <c r="N231" i="10"/>
  <c r="I265" i="10"/>
  <c r="K265" i="10" s="1"/>
  <c r="I267" i="10"/>
  <c r="K267" i="10" s="1"/>
  <c r="I245" i="10"/>
  <c r="K126" i="11"/>
  <c r="I376" i="11"/>
  <c r="K376" i="11" s="1"/>
  <c r="I21" i="12"/>
  <c r="I350" i="3"/>
  <c r="K350" i="3" s="1"/>
  <c r="K359" i="3"/>
  <c r="I444" i="3"/>
  <c r="K444" i="3" s="1"/>
  <c r="N493" i="3"/>
  <c r="K522" i="3"/>
  <c r="K111" i="4"/>
  <c r="L216" i="4"/>
  <c r="N216" i="4" s="1"/>
  <c r="K235" i="4"/>
  <c r="L332" i="4"/>
  <c r="N332" i="4" s="1"/>
  <c r="N476" i="4"/>
  <c r="J482" i="1"/>
  <c r="K507" i="4"/>
  <c r="J522" i="1"/>
  <c r="I89" i="5"/>
  <c r="L201" i="5"/>
  <c r="L199" i="5" s="1"/>
  <c r="N199" i="5" s="1"/>
  <c r="I214" i="5"/>
  <c r="I297" i="5"/>
  <c r="I368" i="5"/>
  <c r="K368" i="5" s="1"/>
  <c r="N476" i="5"/>
  <c r="K507" i="5"/>
  <c r="I21" i="6"/>
  <c r="I10" i="6" s="1"/>
  <c r="K10" i="6" s="1"/>
  <c r="K74" i="6"/>
  <c r="I89" i="6"/>
  <c r="K89" i="6" s="1"/>
  <c r="I129" i="6"/>
  <c r="K129" i="6" s="1"/>
  <c r="N248" i="6"/>
  <c r="I262" i="6"/>
  <c r="I244" i="6" s="1"/>
  <c r="K244" i="6" s="1"/>
  <c r="N279" i="6"/>
  <c r="I311" i="6"/>
  <c r="I296" i="6"/>
  <c r="K296" i="6" s="1"/>
  <c r="K484" i="6"/>
  <c r="N493" i="6"/>
  <c r="K506" i="6"/>
  <c r="K98" i="7"/>
  <c r="L129" i="7"/>
  <c r="N129" i="7" s="1"/>
  <c r="L146" i="7"/>
  <c r="N146" i="7" s="1"/>
  <c r="L185" i="7"/>
  <c r="N185" i="7" s="1"/>
  <c r="K224" i="7"/>
  <c r="J316" i="7"/>
  <c r="K316" i="7" s="1"/>
  <c r="I377" i="7"/>
  <c r="K377" i="7" s="1"/>
  <c r="N429" i="7"/>
  <c r="I457" i="7"/>
  <c r="K457" i="7" s="1"/>
  <c r="L475" i="7"/>
  <c r="N475" i="7" s="1"/>
  <c r="K111" i="8"/>
  <c r="N188" i="8"/>
  <c r="I199" i="8"/>
  <c r="K199" i="8" s="1"/>
  <c r="K224" i="8"/>
  <c r="I270" i="8"/>
  <c r="K270" i="8" s="1"/>
  <c r="K292" i="8"/>
  <c r="I325" i="8"/>
  <c r="L76" i="9"/>
  <c r="L74" i="9" s="1"/>
  <c r="N74" i="9" s="1"/>
  <c r="N77" i="9"/>
  <c r="K126" i="9"/>
  <c r="I89" i="10"/>
  <c r="K89" i="10" s="1"/>
  <c r="K98" i="10"/>
  <c r="K292" i="10"/>
  <c r="I275" i="10"/>
  <c r="K275" i="10" s="1"/>
  <c r="I296" i="10"/>
  <c r="K296" i="10" s="1"/>
  <c r="I21" i="11"/>
  <c r="I267" i="11"/>
  <c r="K267" i="11" s="1"/>
  <c r="K263" i="11"/>
  <c r="I270" i="11"/>
  <c r="K270" i="11" s="1"/>
  <c r="K271" i="11"/>
  <c r="I296" i="11"/>
  <c r="K296" i="11" s="1"/>
  <c r="K317" i="11"/>
  <c r="K506" i="11"/>
  <c r="K511" i="11"/>
  <c r="K505" i="11"/>
  <c r="K125" i="12"/>
  <c r="I114" i="12"/>
  <c r="K114" i="12" s="1"/>
  <c r="K264" i="12"/>
  <c r="I262" i="12"/>
  <c r="I244" i="12" s="1"/>
  <c r="K244" i="12" s="1"/>
  <c r="I296" i="3"/>
  <c r="K296" i="3" s="1"/>
  <c r="I377" i="3"/>
  <c r="K377" i="3" s="1"/>
  <c r="K484" i="3"/>
  <c r="K526" i="3"/>
  <c r="I185" i="4"/>
  <c r="K185" i="4" s="1"/>
  <c r="L230" i="4"/>
  <c r="L228" i="4" s="1"/>
  <c r="N228" i="4" s="1"/>
  <c r="I325" i="4"/>
  <c r="L352" i="4"/>
  <c r="N352" i="4" s="1"/>
  <c r="K508" i="4"/>
  <c r="K521" i="4"/>
  <c r="J526" i="1"/>
  <c r="I21" i="5"/>
  <c r="K21" i="5" s="1"/>
  <c r="N131" i="5"/>
  <c r="K236" i="5"/>
  <c r="J316" i="5"/>
  <c r="K316" i="5" s="1"/>
  <c r="J321" i="5"/>
  <c r="K321" i="5" s="1"/>
  <c r="K361" i="5"/>
  <c r="K508" i="5"/>
  <c r="K521" i="5"/>
  <c r="K238" i="6"/>
  <c r="I270" i="6"/>
  <c r="K270" i="6" s="1"/>
  <c r="I350" i="6"/>
  <c r="I369" i="6"/>
  <c r="K369" i="6" s="1"/>
  <c r="I426" i="6"/>
  <c r="K426" i="6" s="1"/>
  <c r="K526" i="6"/>
  <c r="K238" i="7"/>
  <c r="I270" i="7"/>
  <c r="K270" i="7" s="1"/>
  <c r="I297" i="7"/>
  <c r="I296" i="7"/>
  <c r="K296" i="7" s="1"/>
  <c r="K527" i="7"/>
  <c r="K22" i="8"/>
  <c r="I276" i="8"/>
  <c r="K276" i="8" s="1"/>
  <c r="I297" i="8"/>
  <c r="I296" i="8"/>
  <c r="K296" i="8" s="1"/>
  <c r="I33" i="9"/>
  <c r="K33" i="9" s="1"/>
  <c r="L230" i="9"/>
  <c r="L228" i="9" s="1"/>
  <c r="N228" i="9" s="1"/>
  <c r="N231" i="9"/>
  <c r="I325" i="9"/>
  <c r="K326" i="9"/>
  <c r="I368" i="9"/>
  <c r="K368" i="9" s="1"/>
  <c r="K466" i="9"/>
  <c r="I457" i="9"/>
  <c r="K457" i="9" s="1"/>
  <c r="K314" i="10"/>
  <c r="J312" i="10"/>
  <c r="K312" i="10" s="1"/>
  <c r="J321" i="10"/>
  <c r="K321" i="10" s="1"/>
  <c r="K324" i="10"/>
  <c r="N72" i="11"/>
  <c r="K314" i="11"/>
  <c r="J312" i="11"/>
  <c r="I376" i="15"/>
  <c r="K376" i="15" s="1"/>
  <c r="I276" i="16"/>
  <c r="K276" i="16" s="1"/>
  <c r="K291" i="16"/>
  <c r="N353" i="16"/>
  <c r="L352" i="16"/>
  <c r="N352" i="16" s="1"/>
  <c r="I101" i="17"/>
  <c r="K101" i="17" s="1"/>
  <c r="K111" i="17"/>
  <c r="L131" i="17"/>
  <c r="N131" i="17" s="1"/>
  <c r="N132" i="17"/>
  <c r="J325" i="17"/>
  <c r="I325" i="17"/>
  <c r="K326" i="17"/>
  <c r="K512" i="17"/>
  <c r="K509" i="17"/>
  <c r="K511" i="17"/>
  <c r="K506" i="17"/>
  <c r="K514" i="17"/>
  <c r="K517" i="17"/>
  <c r="K515" i="17"/>
  <c r="I21" i="18"/>
  <c r="K27" i="18"/>
  <c r="I350" i="18"/>
  <c r="K350" i="18" s="1"/>
  <c r="I368" i="18"/>
  <c r="K368" i="18" s="1"/>
  <c r="I376" i="18"/>
  <c r="K376" i="18" s="1"/>
  <c r="K359" i="18"/>
  <c r="J312" i="19"/>
  <c r="K315" i="19"/>
  <c r="N12" i="20"/>
  <c r="L9" i="20"/>
  <c r="N9" i="20" s="1"/>
  <c r="I21" i="20"/>
  <c r="I10" i="20" s="1"/>
  <c r="K10" i="20" s="1"/>
  <c r="K23" i="20"/>
  <c r="K323" i="21"/>
  <c r="J321" i="21"/>
  <c r="K321" i="21" s="1"/>
  <c r="K23" i="22"/>
  <c r="I21" i="22"/>
  <c r="K21" i="22" s="1"/>
  <c r="K292" i="22"/>
  <c r="I275" i="22"/>
  <c r="K275" i="22" s="1"/>
  <c r="K524" i="8"/>
  <c r="K526" i="8"/>
  <c r="K89" i="9"/>
  <c r="K484" i="9"/>
  <c r="K518" i="9"/>
  <c r="K528" i="9"/>
  <c r="I20" i="10"/>
  <c r="K521" i="10"/>
  <c r="K523" i="10"/>
  <c r="I89" i="11"/>
  <c r="K89" i="11" s="1"/>
  <c r="L73" i="11"/>
  <c r="N73" i="11" s="1"/>
  <c r="I457" i="11"/>
  <c r="K457" i="11" s="1"/>
  <c r="K524" i="11"/>
  <c r="K527" i="11"/>
  <c r="I52" i="12"/>
  <c r="K52" i="12" s="1"/>
  <c r="J316" i="12"/>
  <c r="K316" i="12" s="1"/>
  <c r="N493" i="12"/>
  <c r="I21" i="13"/>
  <c r="L73" i="13"/>
  <c r="K195" i="13"/>
  <c r="I262" i="13"/>
  <c r="I244" i="13" s="1"/>
  <c r="K244" i="13" s="1"/>
  <c r="I275" i="13"/>
  <c r="K275" i="13" s="1"/>
  <c r="I376" i="13"/>
  <c r="K376" i="13" s="1"/>
  <c r="N429" i="13"/>
  <c r="N447" i="13"/>
  <c r="K521" i="13"/>
  <c r="K525" i="13"/>
  <c r="I265" i="14"/>
  <c r="K265" i="14" s="1"/>
  <c r="J316" i="14"/>
  <c r="K316" i="14" s="1"/>
  <c r="I368" i="14"/>
  <c r="K368" i="14" s="1"/>
  <c r="K512" i="14"/>
  <c r="I21" i="15"/>
  <c r="I114" i="15"/>
  <c r="K114" i="15" s="1"/>
  <c r="K224" i="15"/>
  <c r="L230" i="15"/>
  <c r="N230" i="15" s="1"/>
  <c r="I262" i="15"/>
  <c r="I244" i="15" s="1"/>
  <c r="K244" i="15" s="1"/>
  <c r="I275" i="15"/>
  <c r="K275" i="15" s="1"/>
  <c r="K359" i="15"/>
  <c r="K361" i="15"/>
  <c r="I377" i="15"/>
  <c r="K377" i="15" s="1"/>
  <c r="I368" i="15"/>
  <c r="K368" i="15" s="1"/>
  <c r="N447" i="15"/>
  <c r="K466" i="15"/>
  <c r="I457" i="15"/>
  <c r="K457" i="15" s="1"/>
  <c r="K514" i="15"/>
  <c r="K518" i="15"/>
  <c r="K516" i="15"/>
  <c r="K513" i="15"/>
  <c r="K320" i="16"/>
  <c r="J316" i="16"/>
  <c r="K316" i="16" s="1"/>
  <c r="L352" i="17"/>
  <c r="N352" i="17" s="1"/>
  <c r="N353" i="17"/>
  <c r="L446" i="17"/>
  <c r="N446" i="17" s="1"/>
  <c r="L76" i="18"/>
  <c r="N76" i="18" s="1"/>
  <c r="N77" i="18"/>
  <c r="I267" i="18"/>
  <c r="K267" i="18" s="1"/>
  <c r="K263" i="18"/>
  <c r="K523" i="8"/>
  <c r="I21" i="9"/>
  <c r="K21" i="9" s="1"/>
  <c r="I270" i="9"/>
  <c r="K270" i="9" s="1"/>
  <c r="I296" i="9"/>
  <c r="K296" i="9" s="1"/>
  <c r="L475" i="9"/>
  <c r="N475" i="9" s="1"/>
  <c r="K516" i="9"/>
  <c r="K522" i="9"/>
  <c r="K527" i="9"/>
  <c r="I410" i="1"/>
  <c r="K410" i="1" s="1"/>
  <c r="K515" i="10"/>
  <c r="K517" i="10"/>
  <c r="K527" i="10"/>
  <c r="I33" i="11"/>
  <c r="K33" i="11" s="1"/>
  <c r="I129" i="11"/>
  <c r="K129" i="11" s="1"/>
  <c r="N132" i="11"/>
  <c r="L230" i="11"/>
  <c r="N230" i="11" s="1"/>
  <c r="I262" i="11"/>
  <c r="I244" i="11" s="1"/>
  <c r="K244" i="11" s="1"/>
  <c r="I377" i="11"/>
  <c r="K377" i="11" s="1"/>
  <c r="I74" i="12"/>
  <c r="K74" i="12" s="1"/>
  <c r="I296" i="12"/>
  <c r="K296" i="12" s="1"/>
  <c r="K319" i="12"/>
  <c r="K523" i="12"/>
  <c r="I52" i="13"/>
  <c r="K52" i="13" s="1"/>
  <c r="I63" i="13"/>
  <c r="K63" i="13" s="1"/>
  <c r="I296" i="13"/>
  <c r="K296" i="13" s="1"/>
  <c r="I350" i="13"/>
  <c r="K350" i="13" s="1"/>
  <c r="I245" i="14"/>
  <c r="K245" i="14" s="1"/>
  <c r="I296" i="14"/>
  <c r="K296" i="14" s="1"/>
  <c r="K319" i="14"/>
  <c r="I325" i="14"/>
  <c r="K515" i="14"/>
  <c r="K517" i="14"/>
  <c r="I52" i="15"/>
  <c r="K52" i="15" s="1"/>
  <c r="I63" i="15"/>
  <c r="K63" i="15" s="1"/>
  <c r="I169" i="15"/>
  <c r="K169" i="15" s="1"/>
  <c r="I20" i="16"/>
  <c r="K22" i="16"/>
  <c r="I33" i="16"/>
  <c r="K33" i="16" s="1"/>
  <c r="I21" i="17"/>
  <c r="K21" i="17" s="1"/>
  <c r="K25" i="17"/>
  <c r="I169" i="17"/>
  <c r="K169" i="17" s="1"/>
  <c r="K180" i="17"/>
  <c r="K518" i="17"/>
  <c r="I199" i="20"/>
  <c r="K199" i="20" s="1"/>
  <c r="K209" i="20"/>
  <c r="K515" i="11"/>
  <c r="K517" i="11"/>
  <c r="K523" i="11"/>
  <c r="J325" i="12"/>
  <c r="K488" i="12"/>
  <c r="K515" i="12"/>
  <c r="K517" i="12"/>
  <c r="K527" i="12"/>
  <c r="I89" i="13"/>
  <c r="K89" i="13" s="1"/>
  <c r="I169" i="13"/>
  <c r="K169" i="13" s="1"/>
  <c r="L230" i="13"/>
  <c r="N230" i="13" s="1"/>
  <c r="L278" i="13"/>
  <c r="N278" i="13" s="1"/>
  <c r="J312" i="13"/>
  <c r="K317" i="13"/>
  <c r="K359" i="13"/>
  <c r="I377" i="13"/>
  <c r="K377" i="13" s="1"/>
  <c r="K519" i="13"/>
  <c r="K528" i="13"/>
  <c r="I21" i="14"/>
  <c r="I63" i="14"/>
  <c r="K63" i="14" s="1"/>
  <c r="I89" i="14"/>
  <c r="K89" i="14" s="1"/>
  <c r="L146" i="14"/>
  <c r="L144" i="14" s="1"/>
  <c r="N144" i="14" s="1"/>
  <c r="K195" i="14"/>
  <c r="I262" i="14"/>
  <c r="I244" i="14" s="1"/>
  <c r="K244" i="14" s="1"/>
  <c r="K263" i="14"/>
  <c r="L278" i="14"/>
  <c r="L275" i="14" s="1"/>
  <c r="N275" i="14" s="1"/>
  <c r="J312" i="14"/>
  <c r="K312" i="14" s="1"/>
  <c r="K317" i="14"/>
  <c r="J325" i="14"/>
  <c r="I350" i="14"/>
  <c r="K513" i="14"/>
  <c r="K516" i="14"/>
  <c r="K518" i="14"/>
  <c r="K525" i="14"/>
  <c r="K527" i="14"/>
  <c r="I33" i="15"/>
  <c r="K33" i="15" s="1"/>
  <c r="I89" i="15"/>
  <c r="K89" i="15" s="1"/>
  <c r="I101" i="15"/>
  <c r="K101" i="15" s="1"/>
  <c r="L73" i="15"/>
  <c r="L278" i="15"/>
  <c r="N278" i="15" s="1"/>
  <c r="K517" i="15"/>
  <c r="K528" i="15"/>
  <c r="I344" i="16"/>
  <c r="K344" i="16" s="1"/>
  <c r="K345" i="16"/>
  <c r="K466" i="16"/>
  <c r="I457" i="16"/>
  <c r="K457" i="16" s="1"/>
  <c r="K516" i="17"/>
  <c r="I185" i="18"/>
  <c r="K185" i="18" s="1"/>
  <c r="K195" i="18"/>
  <c r="L299" i="18"/>
  <c r="N299" i="18" s="1"/>
  <c r="N300" i="18"/>
  <c r="L446" i="18"/>
  <c r="N447" i="18"/>
  <c r="K126" i="19"/>
  <c r="K524" i="15"/>
  <c r="K527" i="15"/>
  <c r="I169" i="16"/>
  <c r="K169" i="16" s="1"/>
  <c r="L171" i="16"/>
  <c r="L169" i="16" s="1"/>
  <c r="N169" i="16" s="1"/>
  <c r="K238" i="16"/>
  <c r="K240" i="16"/>
  <c r="I296" i="16"/>
  <c r="K296" i="16" s="1"/>
  <c r="K361" i="16"/>
  <c r="K523" i="16"/>
  <c r="K528" i="16"/>
  <c r="I185" i="17"/>
  <c r="K185" i="17" s="1"/>
  <c r="I270" i="18"/>
  <c r="K270" i="18" s="1"/>
  <c r="I267" i="19"/>
  <c r="K267" i="19" s="1"/>
  <c r="K263" i="19"/>
  <c r="L428" i="19"/>
  <c r="N429" i="19"/>
  <c r="K48" i="20"/>
  <c r="I33" i="20"/>
  <c r="K33" i="20" s="1"/>
  <c r="K516" i="20"/>
  <c r="K519" i="20"/>
  <c r="I20" i="21"/>
  <c r="K22" i="21"/>
  <c r="K111" i="21"/>
  <c r="I101" i="21"/>
  <c r="K101" i="21" s="1"/>
  <c r="I169" i="21"/>
  <c r="K169" i="21" s="1"/>
  <c r="K180" i="21"/>
  <c r="K209" i="21"/>
  <c r="I199" i="21"/>
  <c r="K199" i="21" s="1"/>
  <c r="K320" i="21"/>
  <c r="J316" i="21"/>
  <c r="K316" i="21" s="1"/>
  <c r="I267" i="22"/>
  <c r="K267" i="22" s="1"/>
  <c r="K263" i="22"/>
  <c r="K89" i="17"/>
  <c r="K513" i="17"/>
  <c r="I214" i="18"/>
  <c r="K214" i="18" s="1"/>
  <c r="K224" i="18"/>
  <c r="K488" i="18"/>
  <c r="K48" i="19"/>
  <c r="I33" i="19"/>
  <c r="K33" i="19" s="1"/>
  <c r="I74" i="19"/>
  <c r="K74" i="19" s="1"/>
  <c r="K138" i="19"/>
  <c r="I129" i="19"/>
  <c r="K129" i="19" s="1"/>
  <c r="N92" i="20"/>
  <c r="L91" i="20"/>
  <c r="I325" i="21"/>
  <c r="K523" i="15"/>
  <c r="K522" i="16"/>
  <c r="L201" i="17"/>
  <c r="L199" i="17" s="1"/>
  <c r="N199" i="17" s="1"/>
  <c r="I228" i="18"/>
  <c r="K228" i="18" s="1"/>
  <c r="I275" i="18"/>
  <c r="K275" i="18" s="1"/>
  <c r="K44" i="20"/>
  <c r="I32" i="20"/>
  <c r="K32" i="20" s="1"/>
  <c r="N430" i="20"/>
  <c r="L428" i="20"/>
  <c r="N428" i="20" s="1"/>
  <c r="K359" i="21"/>
  <c r="I350" i="21"/>
  <c r="K350" i="21" s="1"/>
  <c r="I368" i="21"/>
  <c r="K368" i="21" s="1"/>
  <c r="I376" i="21"/>
  <c r="K376" i="21" s="1"/>
  <c r="K98" i="22"/>
  <c r="I89" i="22"/>
  <c r="K89" i="22" s="1"/>
  <c r="N148" i="22"/>
  <c r="L146" i="22"/>
  <c r="L144" i="22" s="1"/>
  <c r="N144" i="22" s="1"/>
  <c r="K323" i="22"/>
  <c r="J321" i="22"/>
  <c r="K321" i="22" s="1"/>
  <c r="I376" i="19"/>
  <c r="K376" i="19" s="1"/>
  <c r="L332" i="20"/>
  <c r="N333" i="20"/>
  <c r="I270" i="21"/>
  <c r="K270" i="21" s="1"/>
  <c r="K272" i="21"/>
  <c r="L131" i="22"/>
  <c r="L129" i="22" s="1"/>
  <c r="N129" i="22" s="1"/>
  <c r="N132" i="22"/>
  <c r="I169" i="22"/>
  <c r="K169" i="22" s="1"/>
  <c r="K180" i="22"/>
  <c r="K453" i="22"/>
  <c r="I444" i="22"/>
  <c r="K444" i="22" s="1"/>
  <c r="K509" i="18"/>
  <c r="K516" i="18"/>
  <c r="K518" i="18"/>
  <c r="K32" i="19"/>
  <c r="L216" i="19"/>
  <c r="K238" i="19"/>
  <c r="N248" i="19"/>
  <c r="I275" i="19"/>
  <c r="K275" i="19" s="1"/>
  <c r="I296" i="19"/>
  <c r="K296" i="19" s="1"/>
  <c r="K359" i="19"/>
  <c r="K392" i="19"/>
  <c r="N447" i="19"/>
  <c r="K488" i="19"/>
  <c r="I52" i="20"/>
  <c r="K52" i="20" s="1"/>
  <c r="K62" i="20"/>
  <c r="N72" i="20"/>
  <c r="L129" i="20"/>
  <c r="N129" i="20" s="1"/>
  <c r="K138" i="20"/>
  <c r="K312" i="20"/>
  <c r="I297" i="20"/>
  <c r="I311" i="20"/>
  <c r="L475" i="20"/>
  <c r="L473" i="20" s="1"/>
  <c r="N473" i="20" s="1"/>
  <c r="N476" i="20"/>
  <c r="K521" i="20"/>
  <c r="I21" i="21"/>
  <c r="K21" i="21" s="1"/>
  <c r="N148" i="21"/>
  <c r="L146" i="21"/>
  <c r="L144" i="21" s="1"/>
  <c r="N144" i="21" s="1"/>
  <c r="I214" i="21"/>
  <c r="K214" i="21" s="1"/>
  <c r="K224" i="21"/>
  <c r="K138" i="22"/>
  <c r="I129" i="22"/>
  <c r="K129" i="22" s="1"/>
  <c r="L299" i="22"/>
  <c r="N299" i="22" s="1"/>
  <c r="N300" i="22"/>
  <c r="I311" i="22"/>
  <c r="I297" i="22"/>
  <c r="N429" i="22"/>
  <c r="L428" i="22"/>
  <c r="N428" i="22" s="1"/>
  <c r="L492" i="18"/>
  <c r="K524" i="18"/>
  <c r="K527" i="18"/>
  <c r="K169" i="19"/>
  <c r="K523" i="19"/>
  <c r="K528" i="19"/>
  <c r="L73" i="20"/>
  <c r="N73" i="20" s="1"/>
  <c r="I265" i="21"/>
  <c r="K265" i="21" s="1"/>
  <c r="K326" i="21"/>
  <c r="J325" i="21"/>
  <c r="K361" i="21"/>
  <c r="I377" i="21"/>
  <c r="K377" i="21" s="1"/>
  <c r="K521" i="21"/>
  <c r="L199" i="22"/>
  <c r="N199" i="22" s="1"/>
  <c r="L278" i="22"/>
  <c r="N279" i="22"/>
  <c r="N448" i="22"/>
  <c r="L446" i="22"/>
  <c r="N446" i="22" s="1"/>
  <c r="K484" i="22"/>
  <c r="I473" i="22"/>
  <c r="K473" i="22" s="1"/>
  <c r="K511" i="22"/>
  <c r="K505" i="22"/>
  <c r="K521" i="22"/>
  <c r="I296" i="21"/>
  <c r="K296" i="21" s="1"/>
  <c r="K392" i="21"/>
  <c r="L492" i="22"/>
  <c r="N492" i="22" s="1"/>
  <c r="K522" i="22"/>
  <c r="L352" i="20"/>
  <c r="I270" i="22"/>
  <c r="K270" i="22" s="1"/>
  <c r="I296" i="22"/>
  <c r="K296" i="22" s="1"/>
  <c r="K513" i="22"/>
  <c r="K515" i="22"/>
  <c r="K517" i="22"/>
  <c r="J490" i="6"/>
  <c r="J504" i="1"/>
  <c r="M6" i="2"/>
  <c r="M9" i="1"/>
  <c r="M244" i="4"/>
  <c r="M247" i="1"/>
  <c r="M278" i="1"/>
  <c r="M275" i="4"/>
  <c r="M275" i="1" s="1"/>
  <c r="K44" i="2"/>
  <c r="I32" i="2"/>
  <c r="N92" i="2"/>
  <c r="L91" i="2"/>
  <c r="N104" i="2"/>
  <c r="L103" i="2"/>
  <c r="K155" i="2"/>
  <c r="I149" i="2"/>
  <c r="L353" i="1"/>
  <c r="N353" i="1" s="1"/>
  <c r="N353" i="2"/>
  <c r="L352" i="2"/>
  <c r="I361" i="1"/>
  <c r="K361" i="1" s="1"/>
  <c r="K361" i="2"/>
  <c r="I377" i="2"/>
  <c r="K390" i="2"/>
  <c r="I390" i="1"/>
  <c r="K517" i="2"/>
  <c r="K515" i="2"/>
  <c r="K513" i="2"/>
  <c r="I513" i="1"/>
  <c r="K514" i="2"/>
  <c r="M6" i="3"/>
  <c r="N55" i="3"/>
  <c r="L54" i="3"/>
  <c r="N117" i="3"/>
  <c r="L116" i="3"/>
  <c r="K390" i="3"/>
  <c r="L446" i="3"/>
  <c r="N448" i="3"/>
  <c r="K517" i="3"/>
  <c r="K515" i="3"/>
  <c r="K513" i="3"/>
  <c r="K514" i="3"/>
  <c r="J321" i="4"/>
  <c r="K321" i="4" s="1"/>
  <c r="K324" i="4"/>
  <c r="L492" i="4"/>
  <c r="N494" i="4"/>
  <c r="K518" i="4"/>
  <c r="K516" i="4"/>
  <c r="K517" i="4"/>
  <c r="K515" i="4"/>
  <c r="K513" i="4"/>
  <c r="K514" i="4"/>
  <c r="L230" i="5"/>
  <c r="N232" i="5"/>
  <c r="L247" i="5"/>
  <c r="N249" i="5"/>
  <c r="I262" i="5"/>
  <c r="K264" i="5"/>
  <c r="I325" i="5"/>
  <c r="K327" i="5"/>
  <c r="N333" i="5"/>
  <c r="L332" i="5"/>
  <c r="L492" i="5"/>
  <c r="N494" i="5"/>
  <c r="K518" i="5"/>
  <c r="K516" i="5"/>
  <c r="K517" i="5"/>
  <c r="K515" i="5"/>
  <c r="K513" i="5"/>
  <c r="K514" i="5"/>
  <c r="L187" i="6"/>
  <c r="N188" i="6"/>
  <c r="I276" i="6"/>
  <c r="K291" i="6"/>
  <c r="J376" i="6"/>
  <c r="J382" i="1"/>
  <c r="L475" i="6"/>
  <c r="N476" i="6"/>
  <c r="I20" i="7"/>
  <c r="K22" i="7"/>
  <c r="I114" i="7"/>
  <c r="K114" i="7" s="1"/>
  <c r="K125" i="7"/>
  <c r="M459" i="8"/>
  <c r="M457" i="8" s="1"/>
  <c r="N461" i="8"/>
  <c r="N353" i="9"/>
  <c r="L352" i="9"/>
  <c r="K361" i="9"/>
  <c r="I377" i="9"/>
  <c r="K377" i="9" s="1"/>
  <c r="I369" i="9"/>
  <c r="K369" i="9" s="1"/>
  <c r="K44" i="10"/>
  <c r="I32" i="10"/>
  <c r="K32" i="10" s="1"/>
  <c r="N92" i="10"/>
  <c r="L91" i="10"/>
  <c r="K155" i="10"/>
  <c r="I149" i="10"/>
  <c r="J344" i="1"/>
  <c r="J330" i="10"/>
  <c r="J330" i="1" s="1"/>
  <c r="J457" i="10"/>
  <c r="K466" i="10"/>
  <c r="J466" i="1"/>
  <c r="N148" i="11"/>
  <c r="L146" i="11"/>
  <c r="J245" i="11"/>
  <c r="J259" i="11"/>
  <c r="J259" i="1" s="1"/>
  <c r="L278" i="11"/>
  <c r="N279" i="11"/>
  <c r="I311" i="11"/>
  <c r="I297" i="11"/>
  <c r="J521" i="1"/>
  <c r="K521" i="12"/>
  <c r="N203" i="13"/>
  <c r="L201" i="13"/>
  <c r="J325" i="13"/>
  <c r="I325" i="13"/>
  <c r="I326" i="1"/>
  <c r="K326" i="1" s="1"/>
  <c r="K326" i="13"/>
  <c r="L492" i="13"/>
  <c r="N493" i="13"/>
  <c r="K376" i="14"/>
  <c r="J359" i="14"/>
  <c r="L299" i="16"/>
  <c r="N301" i="16"/>
  <c r="L332" i="16"/>
  <c r="N333" i="16"/>
  <c r="N92" i="17"/>
  <c r="L91" i="17"/>
  <c r="L73" i="17"/>
  <c r="I63" i="2"/>
  <c r="I52" i="2"/>
  <c r="K62" i="2"/>
  <c r="I114" i="2"/>
  <c r="K125" i="2"/>
  <c r="L129" i="2"/>
  <c r="L146" i="2"/>
  <c r="N172" i="2"/>
  <c r="L171" i="2"/>
  <c r="L216" i="2"/>
  <c r="J316" i="2"/>
  <c r="K316" i="2" s="1"/>
  <c r="J321" i="2"/>
  <c r="L333" i="1"/>
  <c r="N333" i="1" s="1"/>
  <c r="N333" i="2"/>
  <c r="L332" i="2"/>
  <c r="J377" i="2"/>
  <c r="J377" i="1" s="1"/>
  <c r="K456" i="2"/>
  <c r="I456" i="1"/>
  <c r="M457" i="2"/>
  <c r="K486" i="2"/>
  <c r="I486" i="1"/>
  <c r="K511" i="2"/>
  <c r="K509" i="2"/>
  <c r="K505" i="2"/>
  <c r="K510" i="2"/>
  <c r="K508" i="2"/>
  <c r="K504" i="2"/>
  <c r="K524" i="2"/>
  <c r="L201" i="3"/>
  <c r="N333" i="3"/>
  <c r="L332" i="3"/>
  <c r="N353" i="3"/>
  <c r="L352" i="3"/>
  <c r="K391" i="3"/>
  <c r="N461" i="3"/>
  <c r="M473" i="3"/>
  <c r="K511" i="3"/>
  <c r="K509" i="3"/>
  <c r="K505" i="3"/>
  <c r="K510" i="3"/>
  <c r="K508" i="3"/>
  <c r="K504" i="3"/>
  <c r="K44" i="4"/>
  <c r="I32" i="4"/>
  <c r="K32" i="4" s="1"/>
  <c r="N92" i="4"/>
  <c r="L91" i="4"/>
  <c r="N104" i="4"/>
  <c r="L103" i="4"/>
  <c r="N189" i="4"/>
  <c r="N232" i="4"/>
  <c r="K263" i="4"/>
  <c r="I245" i="4"/>
  <c r="I267" i="4"/>
  <c r="I265" i="4"/>
  <c r="K265" i="4" s="1"/>
  <c r="I296" i="4"/>
  <c r="L299" i="4"/>
  <c r="N301" i="4"/>
  <c r="I322" i="1"/>
  <c r="K322" i="1" s="1"/>
  <c r="K322" i="4"/>
  <c r="N333" i="4"/>
  <c r="K377" i="4"/>
  <c r="L428" i="4"/>
  <c r="N430" i="4"/>
  <c r="N460" i="4"/>
  <c r="L459" i="4"/>
  <c r="K519" i="4"/>
  <c r="N35" i="5"/>
  <c r="M32" i="5"/>
  <c r="M32" i="1" s="1"/>
  <c r="I33" i="5"/>
  <c r="K48" i="5"/>
  <c r="N92" i="5"/>
  <c r="L91" i="5"/>
  <c r="M242" i="5"/>
  <c r="L278" i="5"/>
  <c r="N280" i="5"/>
  <c r="L299" i="5"/>
  <c r="N301" i="5"/>
  <c r="J325" i="5"/>
  <c r="K345" i="5"/>
  <c r="I344" i="5"/>
  <c r="L428" i="5"/>
  <c r="N430" i="5"/>
  <c r="N460" i="5"/>
  <c r="L459" i="5"/>
  <c r="K519" i="5"/>
  <c r="I33" i="6"/>
  <c r="K33" i="6" s="1"/>
  <c r="K48" i="6"/>
  <c r="N92" i="6"/>
  <c r="L91" i="6"/>
  <c r="J144" i="6"/>
  <c r="L230" i="6"/>
  <c r="N231" i="6"/>
  <c r="N354" i="6"/>
  <c r="L354" i="1"/>
  <c r="N448" i="6"/>
  <c r="L446" i="6"/>
  <c r="I63" i="7"/>
  <c r="K63" i="7" s="1"/>
  <c r="I52" i="7"/>
  <c r="K52" i="7" s="1"/>
  <c r="K62" i="7"/>
  <c r="K83" i="7"/>
  <c r="I74" i="7"/>
  <c r="K74" i="7" s="1"/>
  <c r="J321" i="7"/>
  <c r="K321" i="7" s="1"/>
  <c r="K345" i="7"/>
  <c r="I344" i="7"/>
  <c r="K517" i="8"/>
  <c r="K515" i="8"/>
  <c r="K513" i="8"/>
  <c r="K514" i="8"/>
  <c r="K519" i="8"/>
  <c r="K516" i="8"/>
  <c r="K518" i="8"/>
  <c r="I276" i="9"/>
  <c r="K276" i="9" s="1"/>
  <c r="K291" i="9"/>
  <c r="N333" i="9"/>
  <c r="L332" i="9"/>
  <c r="K126" i="10"/>
  <c r="N280" i="10"/>
  <c r="L278" i="10"/>
  <c r="K510" i="10"/>
  <c r="K508" i="10"/>
  <c r="K504" i="10"/>
  <c r="K507" i="10"/>
  <c r="I490" i="10"/>
  <c r="K490" i="10" s="1"/>
  <c r="K511" i="10"/>
  <c r="K506" i="10"/>
  <c r="K505" i="10"/>
  <c r="K509" i="10"/>
  <c r="K512" i="10"/>
  <c r="L492" i="11"/>
  <c r="N493" i="11"/>
  <c r="L493" i="1"/>
  <c r="N493" i="1" s="1"/>
  <c r="L247" i="12"/>
  <c r="N248" i="12"/>
  <c r="N461" i="13"/>
  <c r="L461" i="1"/>
  <c r="N218" i="16"/>
  <c r="L216" i="16"/>
  <c r="M461" i="1"/>
  <c r="I483" i="1"/>
  <c r="K483" i="1" s="1"/>
  <c r="I504" i="1"/>
  <c r="K506" i="1" s="1"/>
  <c r="I526" i="1"/>
  <c r="K22" i="2"/>
  <c r="N55" i="2"/>
  <c r="L54" i="2"/>
  <c r="I74" i="2"/>
  <c r="N117" i="2"/>
  <c r="L116" i="2"/>
  <c r="I262" i="2"/>
  <c r="K264" i="2"/>
  <c r="I297" i="2"/>
  <c r="J312" i="2"/>
  <c r="K347" i="2"/>
  <c r="I347" i="1"/>
  <c r="K347" i="1" s="1"/>
  <c r="M352" i="2"/>
  <c r="M354" i="1"/>
  <c r="I369" i="2"/>
  <c r="J391" i="2"/>
  <c r="L448" i="1"/>
  <c r="N448" i="1" s="1"/>
  <c r="N448" i="2"/>
  <c r="N461" i="2"/>
  <c r="J513" i="2"/>
  <c r="J513" i="1" s="1"/>
  <c r="J514" i="1"/>
  <c r="K518" i="2"/>
  <c r="I20" i="3"/>
  <c r="K44" i="3"/>
  <c r="I32" i="3"/>
  <c r="K32" i="3" s="1"/>
  <c r="L73" i="3"/>
  <c r="N92" i="3"/>
  <c r="L91" i="3"/>
  <c r="N104" i="3"/>
  <c r="L103" i="3"/>
  <c r="N131" i="3"/>
  <c r="K155" i="3"/>
  <c r="I149" i="3"/>
  <c r="K236" i="3"/>
  <c r="N460" i="3"/>
  <c r="L459" i="3"/>
  <c r="K518" i="3"/>
  <c r="N9" i="4"/>
  <c r="N32" i="4"/>
  <c r="N35" i="4"/>
  <c r="I63" i="4"/>
  <c r="K63" i="4" s="1"/>
  <c r="I52" i="4"/>
  <c r="K52" i="4" s="1"/>
  <c r="K62" i="4"/>
  <c r="I114" i="4"/>
  <c r="K114" i="4" s="1"/>
  <c r="K125" i="4"/>
  <c r="K155" i="4"/>
  <c r="L247" i="4"/>
  <c r="N249" i="4"/>
  <c r="L278" i="4"/>
  <c r="N280" i="4"/>
  <c r="K327" i="4"/>
  <c r="K359" i="4"/>
  <c r="I350" i="4"/>
  <c r="K350" i="4" s="1"/>
  <c r="I368" i="4"/>
  <c r="K368" i="4" s="1"/>
  <c r="K391" i="4"/>
  <c r="J390" i="4"/>
  <c r="K390" i="4" s="1"/>
  <c r="I63" i="5"/>
  <c r="K63" i="5" s="1"/>
  <c r="I52" i="5"/>
  <c r="K52" i="5" s="1"/>
  <c r="K62" i="5"/>
  <c r="L73" i="5"/>
  <c r="I114" i="5"/>
  <c r="K114" i="5" s="1"/>
  <c r="K125" i="5"/>
  <c r="N172" i="5"/>
  <c r="L171" i="5"/>
  <c r="L187" i="5"/>
  <c r="N189" i="5"/>
  <c r="K377" i="5"/>
  <c r="K391" i="5"/>
  <c r="J390" i="5"/>
  <c r="K390" i="5" s="1"/>
  <c r="I63" i="6"/>
  <c r="K63" i="6" s="1"/>
  <c r="I52" i="6"/>
  <c r="K52" i="6" s="1"/>
  <c r="K62" i="6"/>
  <c r="L73" i="6"/>
  <c r="I114" i="6"/>
  <c r="K114" i="6" s="1"/>
  <c r="K125" i="6"/>
  <c r="M242" i="6"/>
  <c r="J321" i="6"/>
  <c r="K321" i="6" s="1"/>
  <c r="I346" i="1"/>
  <c r="K346" i="1" s="1"/>
  <c r="K346" i="6"/>
  <c r="K376" i="6"/>
  <c r="N460" i="6"/>
  <c r="L459" i="6"/>
  <c r="N172" i="7"/>
  <c r="L171" i="7"/>
  <c r="I262" i="7"/>
  <c r="K264" i="7"/>
  <c r="K327" i="7"/>
  <c r="J325" i="7"/>
  <c r="K440" i="7"/>
  <c r="I426" i="7"/>
  <c r="K426" i="7" s="1"/>
  <c r="N117" i="8"/>
  <c r="L116" i="8"/>
  <c r="L73" i="8"/>
  <c r="N203" i="8"/>
  <c r="L201" i="8"/>
  <c r="M242" i="8"/>
  <c r="M6" i="9"/>
  <c r="K511" i="9"/>
  <c r="K509" i="9"/>
  <c r="K505" i="9"/>
  <c r="K510" i="9"/>
  <c r="K508" i="9"/>
  <c r="K504" i="9"/>
  <c r="K507" i="9"/>
  <c r="K512" i="9"/>
  <c r="K506" i="9"/>
  <c r="I490" i="9"/>
  <c r="K490" i="9" s="1"/>
  <c r="L73" i="10"/>
  <c r="K138" i="10"/>
  <c r="I129" i="10"/>
  <c r="K129" i="10" s="1"/>
  <c r="N148" i="10"/>
  <c r="L146" i="10"/>
  <c r="I444" i="10"/>
  <c r="I453" i="1"/>
  <c r="K453" i="1" s="1"/>
  <c r="K453" i="10"/>
  <c r="I101" i="11"/>
  <c r="K111" i="11"/>
  <c r="N72" i="12"/>
  <c r="L73" i="12"/>
  <c r="N73" i="12" s="1"/>
  <c r="L131" i="12"/>
  <c r="N132" i="12"/>
  <c r="N131" i="13"/>
  <c r="L129" i="13"/>
  <c r="N129" i="13" s="1"/>
  <c r="N104" i="14"/>
  <c r="L103" i="14"/>
  <c r="L73" i="14"/>
  <c r="J228" i="14"/>
  <c r="K240" i="14"/>
  <c r="N476" i="14"/>
  <c r="L475" i="14"/>
  <c r="I318" i="1"/>
  <c r="K318" i="1" s="1"/>
  <c r="I454" i="1"/>
  <c r="I129" i="2"/>
  <c r="I228" i="2"/>
  <c r="I311" i="2"/>
  <c r="M332" i="2"/>
  <c r="M334" i="1"/>
  <c r="K345" i="2"/>
  <c r="I344" i="2"/>
  <c r="J369" i="1"/>
  <c r="M426" i="1"/>
  <c r="M446" i="1"/>
  <c r="N460" i="2"/>
  <c r="L459" i="2"/>
  <c r="K482" i="2"/>
  <c r="I482" i="1"/>
  <c r="I490" i="2"/>
  <c r="K506" i="2"/>
  <c r="K512" i="2"/>
  <c r="K516" i="2"/>
  <c r="K519" i="2"/>
  <c r="K527" i="2"/>
  <c r="N9" i="3"/>
  <c r="I63" i="3"/>
  <c r="K63" i="3" s="1"/>
  <c r="I52" i="3"/>
  <c r="K52" i="3" s="1"/>
  <c r="K62" i="3"/>
  <c r="I114" i="3"/>
  <c r="K114" i="3" s="1"/>
  <c r="K125" i="3"/>
  <c r="N129" i="3"/>
  <c r="N172" i="3"/>
  <c r="L171" i="3"/>
  <c r="I262" i="3"/>
  <c r="K264" i="3"/>
  <c r="J316" i="3"/>
  <c r="K345" i="3"/>
  <c r="I344" i="3"/>
  <c r="I369" i="3"/>
  <c r="K369" i="3" s="1"/>
  <c r="I490" i="3"/>
  <c r="K490" i="3" s="1"/>
  <c r="K506" i="3"/>
  <c r="K512" i="3"/>
  <c r="K516" i="3"/>
  <c r="K519" i="3"/>
  <c r="K527" i="3"/>
  <c r="N55" i="4"/>
  <c r="L54" i="4"/>
  <c r="K74" i="4"/>
  <c r="N117" i="4"/>
  <c r="L116" i="4"/>
  <c r="K238" i="4"/>
  <c r="I262" i="4"/>
  <c r="K271" i="4"/>
  <c r="I270" i="4"/>
  <c r="K270" i="4" s="1"/>
  <c r="J312" i="4"/>
  <c r="K315" i="4"/>
  <c r="K360" i="4"/>
  <c r="I376" i="4"/>
  <c r="K504" i="4"/>
  <c r="J490" i="4"/>
  <c r="M6" i="5"/>
  <c r="K44" i="5"/>
  <c r="I32" i="5"/>
  <c r="K32" i="5" s="1"/>
  <c r="N55" i="5"/>
  <c r="L54" i="5"/>
  <c r="N104" i="5"/>
  <c r="L103" i="5"/>
  <c r="N117" i="5"/>
  <c r="L116" i="5"/>
  <c r="M129" i="5"/>
  <c r="N129" i="5" s="1"/>
  <c r="K155" i="5"/>
  <c r="I149" i="5"/>
  <c r="L216" i="5"/>
  <c r="N353" i="5"/>
  <c r="L352" i="5"/>
  <c r="K359" i="5"/>
  <c r="K504" i="5"/>
  <c r="J490" i="5"/>
  <c r="M6" i="6"/>
  <c r="N9" i="6"/>
  <c r="K44" i="6"/>
  <c r="I32" i="6"/>
  <c r="K32" i="6" s="1"/>
  <c r="N55" i="6"/>
  <c r="L54" i="6"/>
  <c r="N104" i="6"/>
  <c r="L103" i="6"/>
  <c r="N117" i="6"/>
  <c r="L116" i="6"/>
  <c r="K236" i="6"/>
  <c r="I228" i="6"/>
  <c r="K228" i="6" s="1"/>
  <c r="K327" i="6"/>
  <c r="J325" i="6"/>
  <c r="L428" i="6"/>
  <c r="L429" i="1"/>
  <c r="N429" i="1" s="1"/>
  <c r="N429" i="6"/>
  <c r="M74" i="7"/>
  <c r="K228" i="7"/>
  <c r="I325" i="7"/>
  <c r="M332" i="7"/>
  <c r="M330" i="7" s="1"/>
  <c r="N334" i="7"/>
  <c r="M352" i="7"/>
  <c r="M350" i="7" s="1"/>
  <c r="N354" i="7"/>
  <c r="N55" i="8"/>
  <c r="L54" i="8"/>
  <c r="L446" i="8"/>
  <c r="N448" i="8"/>
  <c r="M242" i="9"/>
  <c r="N104" i="10"/>
  <c r="L103" i="10"/>
  <c r="K323" i="11"/>
  <c r="J321" i="11"/>
  <c r="K321" i="11" s="1"/>
  <c r="I444" i="11"/>
  <c r="K444" i="11" s="1"/>
  <c r="K455" i="11"/>
  <c r="I455" i="1"/>
  <c r="K455" i="1" s="1"/>
  <c r="I185" i="12"/>
  <c r="K195" i="12"/>
  <c r="K528" i="12"/>
  <c r="I528" i="1"/>
  <c r="M242" i="13"/>
  <c r="K180" i="14"/>
  <c r="I169" i="14"/>
  <c r="K169" i="14" s="1"/>
  <c r="N333" i="6"/>
  <c r="L332" i="6"/>
  <c r="M6" i="7"/>
  <c r="N55" i="7"/>
  <c r="L54" i="7"/>
  <c r="N117" i="7"/>
  <c r="L116" i="7"/>
  <c r="K390" i="7"/>
  <c r="L446" i="7"/>
  <c r="N448" i="7"/>
  <c r="K517" i="7"/>
  <c r="K515" i="7"/>
  <c r="K513" i="7"/>
  <c r="K514" i="7"/>
  <c r="N333" i="8"/>
  <c r="L332" i="8"/>
  <c r="N353" i="8"/>
  <c r="L352" i="8"/>
  <c r="K511" i="8"/>
  <c r="K509" i="8"/>
  <c r="K505" i="8"/>
  <c r="K510" i="8"/>
  <c r="K508" i="8"/>
  <c r="K504" i="8"/>
  <c r="K44" i="9"/>
  <c r="I32" i="9"/>
  <c r="K32" i="9" s="1"/>
  <c r="N92" i="9"/>
  <c r="L91" i="9"/>
  <c r="N104" i="9"/>
  <c r="L103" i="9"/>
  <c r="K155" i="9"/>
  <c r="I149" i="9"/>
  <c r="N460" i="9"/>
  <c r="L459" i="9"/>
  <c r="I63" i="10"/>
  <c r="K63" i="10" s="1"/>
  <c r="I52" i="10"/>
  <c r="K52" i="10" s="1"/>
  <c r="K62" i="10"/>
  <c r="I114" i="10"/>
  <c r="K114" i="10" s="1"/>
  <c r="K125" i="10"/>
  <c r="N172" i="10"/>
  <c r="L171" i="10"/>
  <c r="M242" i="10"/>
  <c r="N333" i="10"/>
  <c r="L332" i="10"/>
  <c r="N131" i="11"/>
  <c r="L129" i="11"/>
  <c r="N129" i="11" s="1"/>
  <c r="K291" i="11"/>
  <c r="I276" i="11"/>
  <c r="K276" i="11" s="1"/>
  <c r="K440" i="11"/>
  <c r="I426" i="11"/>
  <c r="K426" i="11" s="1"/>
  <c r="I473" i="11"/>
  <c r="K473" i="11" s="1"/>
  <c r="K484" i="11"/>
  <c r="K180" i="12"/>
  <c r="I169" i="12"/>
  <c r="K392" i="12"/>
  <c r="N476" i="12"/>
  <c r="L475" i="12"/>
  <c r="N35" i="13"/>
  <c r="L32" i="13"/>
  <c r="N32" i="13" s="1"/>
  <c r="I444" i="13"/>
  <c r="K444" i="13" s="1"/>
  <c r="K455" i="13"/>
  <c r="I473" i="13"/>
  <c r="K473" i="13" s="1"/>
  <c r="K484" i="13"/>
  <c r="L187" i="14"/>
  <c r="N188" i="14"/>
  <c r="N35" i="15"/>
  <c r="L32" i="15"/>
  <c r="N32" i="15" s="1"/>
  <c r="L299" i="15"/>
  <c r="N300" i="15"/>
  <c r="L492" i="15"/>
  <c r="N493" i="15"/>
  <c r="N117" i="16"/>
  <c r="L116" i="16"/>
  <c r="L73" i="16"/>
  <c r="L187" i="16"/>
  <c r="N189" i="16"/>
  <c r="I297" i="17"/>
  <c r="I311" i="17"/>
  <c r="K361" i="17"/>
  <c r="I369" i="17"/>
  <c r="K369" i="17" s="1"/>
  <c r="I377" i="17"/>
  <c r="K377" i="17" s="1"/>
  <c r="N218" i="18"/>
  <c r="L216" i="18"/>
  <c r="J417" i="1"/>
  <c r="I466" i="1"/>
  <c r="K466" i="1" s="1"/>
  <c r="I521" i="1"/>
  <c r="I525" i="1"/>
  <c r="K441" i="4"/>
  <c r="L446" i="4"/>
  <c r="I457" i="4"/>
  <c r="K505" i="4"/>
  <c r="K509" i="4"/>
  <c r="K511" i="4"/>
  <c r="L76" i="5"/>
  <c r="I265" i="5"/>
  <c r="K265" i="5" s="1"/>
  <c r="I267" i="5"/>
  <c r="K267" i="5" s="1"/>
  <c r="I270" i="5"/>
  <c r="K270" i="5" s="1"/>
  <c r="K315" i="5"/>
  <c r="K324" i="5"/>
  <c r="I350" i="5"/>
  <c r="K350" i="5" s="1"/>
  <c r="L446" i="5"/>
  <c r="I457" i="5"/>
  <c r="K457" i="5" s="1"/>
  <c r="K505" i="5"/>
  <c r="K509" i="5"/>
  <c r="K511" i="5"/>
  <c r="L76" i="6"/>
  <c r="K155" i="6"/>
  <c r="I149" i="6"/>
  <c r="J245" i="6"/>
  <c r="K263" i="6"/>
  <c r="K317" i="6"/>
  <c r="I377" i="6"/>
  <c r="K377" i="6" s="1"/>
  <c r="L490" i="6"/>
  <c r="N490" i="6" s="1"/>
  <c r="K517" i="6"/>
  <c r="K515" i="6"/>
  <c r="K513" i="6"/>
  <c r="K514" i="6"/>
  <c r="I129" i="7"/>
  <c r="K129" i="7" s="1"/>
  <c r="L201" i="7"/>
  <c r="N333" i="7"/>
  <c r="L332" i="7"/>
  <c r="N353" i="7"/>
  <c r="L352" i="7"/>
  <c r="K391" i="7"/>
  <c r="N461" i="7"/>
  <c r="K511" i="7"/>
  <c r="K509" i="7"/>
  <c r="K505" i="7"/>
  <c r="K510" i="7"/>
  <c r="K508" i="7"/>
  <c r="K504" i="7"/>
  <c r="K523" i="7"/>
  <c r="K44" i="8"/>
  <c r="I32" i="8"/>
  <c r="K32" i="8" s="1"/>
  <c r="N92" i="8"/>
  <c r="L91" i="8"/>
  <c r="N104" i="8"/>
  <c r="L103" i="8"/>
  <c r="N131" i="8"/>
  <c r="K155" i="8"/>
  <c r="I149" i="8"/>
  <c r="N460" i="8"/>
  <c r="L459" i="8"/>
  <c r="I63" i="9"/>
  <c r="K63" i="9" s="1"/>
  <c r="I52" i="9"/>
  <c r="K52" i="9" s="1"/>
  <c r="K62" i="9"/>
  <c r="I114" i="9"/>
  <c r="K114" i="9" s="1"/>
  <c r="K125" i="9"/>
  <c r="L146" i="9"/>
  <c r="N172" i="9"/>
  <c r="L171" i="9"/>
  <c r="L216" i="9"/>
  <c r="I262" i="9"/>
  <c r="K264" i="9"/>
  <c r="K272" i="9"/>
  <c r="I311" i="9"/>
  <c r="J316" i="9"/>
  <c r="K316" i="9" s="1"/>
  <c r="K345" i="9"/>
  <c r="I344" i="9"/>
  <c r="M6" i="10"/>
  <c r="K22" i="10"/>
  <c r="N55" i="10"/>
  <c r="L54" i="10"/>
  <c r="I74" i="10"/>
  <c r="K74" i="10" s="1"/>
  <c r="N117" i="10"/>
  <c r="L116" i="10"/>
  <c r="L216" i="10"/>
  <c r="L247" i="10"/>
  <c r="N248" i="10"/>
  <c r="I311" i="10"/>
  <c r="I325" i="10"/>
  <c r="K326" i="10"/>
  <c r="N476" i="10"/>
  <c r="L475" i="10"/>
  <c r="N35" i="11"/>
  <c r="L32" i="11"/>
  <c r="K224" i="11"/>
  <c r="K236" i="11"/>
  <c r="I228" i="11"/>
  <c r="K228" i="11" s="1"/>
  <c r="N300" i="11"/>
  <c r="J316" i="11"/>
  <c r="K316" i="11" s="1"/>
  <c r="K319" i="11"/>
  <c r="N9" i="12"/>
  <c r="L187" i="12"/>
  <c r="N188" i="12"/>
  <c r="J359" i="12"/>
  <c r="L428" i="12"/>
  <c r="N429" i="12"/>
  <c r="I20" i="13"/>
  <c r="K22" i="13"/>
  <c r="M6" i="13"/>
  <c r="K83" i="13"/>
  <c r="I74" i="13"/>
  <c r="K74" i="13" s="1"/>
  <c r="N279" i="13"/>
  <c r="K291" i="13"/>
  <c r="I276" i="13"/>
  <c r="K276" i="13" s="1"/>
  <c r="J321" i="13"/>
  <c r="K321" i="13" s="1"/>
  <c r="K440" i="13"/>
  <c r="I426" i="13"/>
  <c r="K426" i="13" s="1"/>
  <c r="M6" i="14"/>
  <c r="N12" i="14"/>
  <c r="L9" i="14"/>
  <c r="K44" i="14"/>
  <c r="I32" i="14"/>
  <c r="K32" i="14" s="1"/>
  <c r="L131" i="14"/>
  <c r="N132" i="14"/>
  <c r="M242" i="14"/>
  <c r="K236" i="15"/>
  <c r="I228" i="15"/>
  <c r="K228" i="15" s="1"/>
  <c r="J245" i="15"/>
  <c r="K263" i="15"/>
  <c r="N279" i="15"/>
  <c r="K291" i="15"/>
  <c r="I276" i="15"/>
  <c r="K276" i="15" s="1"/>
  <c r="J316" i="15"/>
  <c r="K316" i="15" s="1"/>
  <c r="K319" i="15"/>
  <c r="I473" i="15"/>
  <c r="K473" i="15" s="1"/>
  <c r="K484" i="15"/>
  <c r="J390" i="16"/>
  <c r="K391" i="16"/>
  <c r="K517" i="16"/>
  <c r="K515" i="16"/>
  <c r="K513" i="16"/>
  <c r="K514" i="16"/>
  <c r="K519" i="16"/>
  <c r="K516" i="16"/>
  <c r="K518" i="16"/>
  <c r="I350" i="17"/>
  <c r="K350" i="17" s="1"/>
  <c r="I376" i="17"/>
  <c r="K376" i="17" s="1"/>
  <c r="K359" i="17"/>
  <c r="K111" i="18"/>
  <c r="I101" i="18"/>
  <c r="K101" i="18" s="1"/>
  <c r="M332" i="18"/>
  <c r="M330" i="18" s="1"/>
  <c r="N334" i="18"/>
  <c r="I262" i="19"/>
  <c r="K264" i="19"/>
  <c r="L477" i="1"/>
  <c r="N477" i="1" s="1"/>
  <c r="I485" i="1"/>
  <c r="K485" i="1" s="1"/>
  <c r="I489" i="1"/>
  <c r="K489" i="1" s="1"/>
  <c r="I265" i="2"/>
  <c r="I270" i="2"/>
  <c r="L446" i="2"/>
  <c r="I369" i="4"/>
  <c r="K369" i="4" s="1"/>
  <c r="K506" i="4"/>
  <c r="I245" i="5"/>
  <c r="K245" i="5" s="1"/>
  <c r="I369" i="5"/>
  <c r="K369" i="5" s="1"/>
  <c r="K506" i="5"/>
  <c r="N172" i="6"/>
  <c r="L171" i="6"/>
  <c r="K345" i="6"/>
  <c r="I344" i="6"/>
  <c r="N353" i="6"/>
  <c r="L352" i="6"/>
  <c r="K511" i="6"/>
  <c r="K509" i="6"/>
  <c r="K505" i="6"/>
  <c r="K510" i="6"/>
  <c r="K508" i="6"/>
  <c r="K504" i="6"/>
  <c r="K523" i="6"/>
  <c r="K44" i="7"/>
  <c r="I32" i="7"/>
  <c r="K32" i="7" s="1"/>
  <c r="L73" i="7"/>
  <c r="N92" i="7"/>
  <c r="L91" i="7"/>
  <c r="N104" i="7"/>
  <c r="L103" i="7"/>
  <c r="K155" i="7"/>
  <c r="I149" i="7"/>
  <c r="K236" i="7"/>
  <c r="N460" i="7"/>
  <c r="L459" i="7"/>
  <c r="K518" i="7"/>
  <c r="N9" i="8"/>
  <c r="I63" i="8"/>
  <c r="K63" i="8" s="1"/>
  <c r="I52" i="8"/>
  <c r="K52" i="8" s="1"/>
  <c r="K62" i="8"/>
  <c r="I114" i="8"/>
  <c r="K114" i="8" s="1"/>
  <c r="K125" i="8"/>
  <c r="N129" i="8"/>
  <c r="N172" i="8"/>
  <c r="L171" i="8"/>
  <c r="I262" i="8"/>
  <c r="K264" i="8"/>
  <c r="K272" i="8"/>
  <c r="I311" i="8"/>
  <c r="J316" i="8"/>
  <c r="K345" i="8"/>
  <c r="I344" i="8"/>
  <c r="I369" i="8"/>
  <c r="K369" i="8" s="1"/>
  <c r="I490" i="8"/>
  <c r="K490" i="8" s="1"/>
  <c r="K506" i="8"/>
  <c r="K512" i="8"/>
  <c r="K527" i="8"/>
  <c r="K22" i="9"/>
  <c r="N55" i="9"/>
  <c r="L54" i="9"/>
  <c r="I74" i="9"/>
  <c r="K74" i="9" s="1"/>
  <c r="N117" i="9"/>
  <c r="L116" i="9"/>
  <c r="J325" i="9"/>
  <c r="N334" i="9"/>
  <c r="I426" i="9"/>
  <c r="K426" i="9" s="1"/>
  <c r="L446" i="9"/>
  <c r="N448" i="9"/>
  <c r="K517" i="9"/>
  <c r="K515" i="9"/>
  <c r="K513" i="9"/>
  <c r="K514" i="9"/>
  <c r="L201" i="10"/>
  <c r="J245" i="10"/>
  <c r="K263" i="10"/>
  <c r="K317" i="10"/>
  <c r="K320" i="10"/>
  <c r="J316" i="10"/>
  <c r="L428" i="10"/>
  <c r="N429" i="10"/>
  <c r="I20" i="11"/>
  <c r="K22" i="11"/>
  <c r="M6" i="11"/>
  <c r="K83" i="11"/>
  <c r="I74" i="11"/>
  <c r="K74" i="11" s="1"/>
  <c r="N203" i="11"/>
  <c r="L201" i="11"/>
  <c r="N231" i="11"/>
  <c r="J325" i="11"/>
  <c r="I325" i="11"/>
  <c r="N461" i="11"/>
  <c r="K240" i="12"/>
  <c r="I311" i="12"/>
  <c r="I297" i="12"/>
  <c r="K361" i="12"/>
  <c r="I377" i="12"/>
  <c r="K377" i="12" s="1"/>
  <c r="J457" i="12"/>
  <c r="K466" i="12"/>
  <c r="K510" i="12"/>
  <c r="K508" i="12"/>
  <c r="K504" i="12"/>
  <c r="K507" i="12"/>
  <c r="I490" i="12"/>
  <c r="K490" i="12" s="1"/>
  <c r="K511" i="12"/>
  <c r="K506" i="12"/>
  <c r="K505" i="12"/>
  <c r="N148" i="13"/>
  <c r="L146" i="13"/>
  <c r="K224" i="13"/>
  <c r="K236" i="13"/>
  <c r="I228" i="13"/>
  <c r="K228" i="13" s="1"/>
  <c r="I297" i="13"/>
  <c r="N300" i="13"/>
  <c r="I311" i="13"/>
  <c r="J316" i="13"/>
  <c r="K316" i="13" s="1"/>
  <c r="K319" i="13"/>
  <c r="N203" i="15"/>
  <c r="L201" i="15"/>
  <c r="N231" i="15"/>
  <c r="I311" i="15"/>
  <c r="I297" i="15"/>
  <c r="J325" i="15"/>
  <c r="I325" i="15"/>
  <c r="K326" i="15"/>
  <c r="N104" i="17"/>
  <c r="L103" i="17"/>
  <c r="K345" i="10"/>
  <c r="I344" i="10"/>
  <c r="N353" i="10"/>
  <c r="L352" i="10"/>
  <c r="K440" i="10"/>
  <c r="I426" i="10"/>
  <c r="K426" i="10" s="1"/>
  <c r="K457" i="10"/>
  <c r="I473" i="10"/>
  <c r="K484" i="10"/>
  <c r="I369" i="11"/>
  <c r="K369" i="11" s="1"/>
  <c r="K510" i="11"/>
  <c r="K508" i="11"/>
  <c r="K504" i="11"/>
  <c r="K507" i="11"/>
  <c r="I490" i="11"/>
  <c r="K490" i="11" s="1"/>
  <c r="K509" i="11"/>
  <c r="K512" i="11"/>
  <c r="I20" i="12"/>
  <c r="K22" i="12"/>
  <c r="N35" i="12"/>
  <c r="L32" i="12"/>
  <c r="N32" i="12" s="1"/>
  <c r="K236" i="12"/>
  <c r="I228" i="12"/>
  <c r="K228" i="12" s="1"/>
  <c r="K440" i="12"/>
  <c r="I426" i="12"/>
  <c r="K426" i="12" s="1"/>
  <c r="K457" i="12"/>
  <c r="N461" i="12"/>
  <c r="I473" i="12"/>
  <c r="K473" i="12" s="1"/>
  <c r="K484" i="12"/>
  <c r="I369" i="13"/>
  <c r="K369" i="13" s="1"/>
  <c r="K510" i="13"/>
  <c r="K508" i="13"/>
  <c r="K504" i="13"/>
  <c r="K507" i="13"/>
  <c r="I490" i="13"/>
  <c r="K490" i="13" s="1"/>
  <c r="K509" i="13"/>
  <c r="K512" i="13"/>
  <c r="I20" i="14"/>
  <c r="K22" i="14"/>
  <c r="N92" i="14"/>
  <c r="L91" i="14"/>
  <c r="N117" i="14"/>
  <c r="L116" i="14"/>
  <c r="K155" i="14"/>
  <c r="I149" i="14"/>
  <c r="I311" i="14"/>
  <c r="I297" i="14"/>
  <c r="L428" i="14"/>
  <c r="N429" i="14"/>
  <c r="I20" i="15"/>
  <c r="K22" i="15"/>
  <c r="M6" i="15"/>
  <c r="K83" i="15"/>
  <c r="I74" i="15"/>
  <c r="K74" i="15" s="1"/>
  <c r="N148" i="15"/>
  <c r="L146" i="15"/>
  <c r="M242" i="15"/>
  <c r="K440" i="15"/>
  <c r="I426" i="15"/>
  <c r="K426" i="15" s="1"/>
  <c r="K327" i="16"/>
  <c r="J325" i="16"/>
  <c r="K345" i="17"/>
  <c r="I344" i="17"/>
  <c r="K524" i="10"/>
  <c r="K195" i="11"/>
  <c r="N334" i="11"/>
  <c r="K350" i="11"/>
  <c r="N354" i="11"/>
  <c r="N476" i="11"/>
  <c r="L475" i="11"/>
  <c r="K528" i="11"/>
  <c r="K224" i="12"/>
  <c r="J321" i="12"/>
  <c r="K326" i="12"/>
  <c r="K524" i="12"/>
  <c r="N334" i="13"/>
  <c r="N354" i="13"/>
  <c r="N476" i="13"/>
  <c r="L475" i="13"/>
  <c r="N55" i="14"/>
  <c r="L54" i="14"/>
  <c r="L247" i="14"/>
  <c r="N248" i="14"/>
  <c r="K361" i="14"/>
  <c r="I377" i="14"/>
  <c r="K377" i="14" s="1"/>
  <c r="J457" i="14"/>
  <c r="K466" i="14"/>
  <c r="K510" i="14"/>
  <c r="K508" i="14"/>
  <c r="K504" i="14"/>
  <c r="K507" i="14"/>
  <c r="I490" i="14"/>
  <c r="K490" i="14" s="1"/>
  <c r="K511" i="14"/>
  <c r="K506" i="14"/>
  <c r="K505" i="14"/>
  <c r="N461" i="15"/>
  <c r="K263" i="16"/>
  <c r="I245" i="16"/>
  <c r="K245" i="16" s="1"/>
  <c r="I267" i="16"/>
  <c r="K267" i="16" s="1"/>
  <c r="I265" i="16"/>
  <c r="K265" i="16" s="1"/>
  <c r="L446" i="16"/>
  <c r="N448" i="16"/>
  <c r="K138" i="17"/>
  <c r="I129" i="17"/>
  <c r="K155" i="17"/>
  <c r="I149" i="17"/>
  <c r="K318" i="17"/>
  <c r="J316" i="17"/>
  <c r="K316" i="17" s="1"/>
  <c r="L54" i="20"/>
  <c r="N56" i="20"/>
  <c r="N203" i="19"/>
  <c r="L201" i="19"/>
  <c r="K327" i="19"/>
  <c r="J325" i="19"/>
  <c r="K345" i="19"/>
  <c r="I344" i="19"/>
  <c r="J144" i="20"/>
  <c r="K264" i="22"/>
  <c r="I262" i="22"/>
  <c r="I276" i="22"/>
  <c r="K276" i="22" s="1"/>
  <c r="K291" i="22"/>
  <c r="I368" i="10"/>
  <c r="K368" i="10" s="1"/>
  <c r="K519" i="10"/>
  <c r="K519" i="11"/>
  <c r="K519" i="12"/>
  <c r="K515" i="13"/>
  <c r="K517" i="13"/>
  <c r="K236" i="14"/>
  <c r="I228" i="14"/>
  <c r="K440" i="14"/>
  <c r="I426" i="14"/>
  <c r="K426" i="14" s="1"/>
  <c r="K457" i="14"/>
  <c r="I473" i="14"/>
  <c r="K473" i="14" s="1"/>
  <c r="K484" i="14"/>
  <c r="K510" i="15"/>
  <c r="K508" i="15"/>
  <c r="K504" i="15"/>
  <c r="K507" i="15"/>
  <c r="I490" i="15"/>
  <c r="K490" i="15" s="1"/>
  <c r="K509" i="15"/>
  <c r="K512" i="15"/>
  <c r="I63" i="16"/>
  <c r="K63" i="16" s="1"/>
  <c r="I52" i="16"/>
  <c r="K52" i="16" s="1"/>
  <c r="K62" i="16"/>
  <c r="J321" i="16"/>
  <c r="K321" i="16" s="1"/>
  <c r="K324" i="16"/>
  <c r="M459" i="16"/>
  <c r="M457" i="16" s="1"/>
  <c r="N461" i="16"/>
  <c r="N148" i="17"/>
  <c r="L146" i="17"/>
  <c r="K323" i="17"/>
  <c r="J321" i="17"/>
  <c r="K321" i="17" s="1"/>
  <c r="L73" i="18"/>
  <c r="L131" i="18"/>
  <c r="N132" i="18"/>
  <c r="K323" i="18"/>
  <c r="J321" i="18"/>
  <c r="K321" i="18" s="1"/>
  <c r="K440" i="18"/>
  <c r="I426" i="18"/>
  <c r="K426" i="18" s="1"/>
  <c r="M475" i="18"/>
  <c r="M473" i="18" s="1"/>
  <c r="M242" i="18" s="1"/>
  <c r="N477" i="18"/>
  <c r="M6" i="19"/>
  <c r="K318" i="19"/>
  <c r="J316" i="19"/>
  <c r="K316" i="19" s="1"/>
  <c r="I325" i="19"/>
  <c r="L492" i="19"/>
  <c r="N493" i="19"/>
  <c r="L459" i="10"/>
  <c r="I32" i="11"/>
  <c r="K32" i="11" s="1"/>
  <c r="L54" i="11"/>
  <c r="L91" i="11"/>
  <c r="L103" i="11"/>
  <c r="L116" i="11"/>
  <c r="I149" i="11"/>
  <c r="L171" i="11"/>
  <c r="L332" i="11"/>
  <c r="I344" i="11"/>
  <c r="L352" i="11"/>
  <c r="L459" i="11"/>
  <c r="I32" i="12"/>
  <c r="K32" i="12" s="1"/>
  <c r="L54" i="12"/>
  <c r="L91" i="12"/>
  <c r="L103" i="12"/>
  <c r="L116" i="12"/>
  <c r="I149" i="12"/>
  <c r="L171" i="12"/>
  <c r="L332" i="12"/>
  <c r="I344" i="12"/>
  <c r="L352" i="12"/>
  <c r="L459" i="12"/>
  <c r="I32" i="13"/>
  <c r="K32" i="13" s="1"/>
  <c r="L54" i="13"/>
  <c r="L91" i="13"/>
  <c r="L103" i="13"/>
  <c r="L116" i="13"/>
  <c r="I149" i="13"/>
  <c r="L171" i="13"/>
  <c r="L332" i="13"/>
  <c r="I344" i="13"/>
  <c r="L352" i="13"/>
  <c r="L459" i="13"/>
  <c r="K513" i="13"/>
  <c r="K516" i="13"/>
  <c r="K518" i="13"/>
  <c r="K523" i="13"/>
  <c r="I74" i="14"/>
  <c r="K74" i="14" s="1"/>
  <c r="K224" i="14"/>
  <c r="J321" i="14"/>
  <c r="K321" i="14" s="1"/>
  <c r="K326" i="14"/>
  <c r="K524" i="14"/>
  <c r="K195" i="15"/>
  <c r="K240" i="15"/>
  <c r="J312" i="15"/>
  <c r="K317" i="15"/>
  <c r="N334" i="15"/>
  <c r="K350" i="15"/>
  <c r="N354" i="15"/>
  <c r="K392" i="15"/>
  <c r="I444" i="15"/>
  <c r="K444" i="15" s="1"/>
  <c r="N476" i="15"/>
  <c r="L475" i="15"/>
  <c r="M6" i="16"/>
  <c r="N32" i="16"/>
  <c r="N35" i="16"/>
  <c r="N55" i="16"/>
  <c r="L54" i="16"/>
  <c r="I114" i="16"/>
  <c r="K114" i="16" s="1"/>
  <c r="K125" i="16"/>
  <c r="K185" i="16"/>
  <c r="K511" i="16"/>
  <c r="K509" i="16"/>
  <c r="K505" i="16"/>
  <c r="K510" i="16"/>
  <c r="K508" i="16"/>
  <c r="K504" i="16"/>
  <c r="K512" i="16"/>
  <c r="K506" i="16"/>
  <c r="I490" i="16"/>
  <c r="K490" i="16" s="1"/>
  <c r="M6" i="17"/>
  <c r="K44" i="17"/>
  <c r="I32" i="17"/>
  <c r="K32" i="17" s="1"/>
  <c r="N218" i="17"/>
  <c r="L216" i="17"/>
  <c r="N334" i="17"/>
  <c r="N476" i="17"/>
  <c r="L475" i="17"/>
  <c r="L492" i="17"/>
  <c r="N493" i="17"/>
  <c r="K83" i="18"/>
  <c r="I74" i="18"/>
  <c r="K74" i="18" s="1"/>
  <c r="J312" i="18"/>
  <c r="I276" i="19"/>
  <c r="K276" i="19" s="1"/>
  <c r="K291" i="19"/>
  <c r="N353" i="19"/>
  <c r="L352" i="19"/>
  <c r="K519" i="14"/>
  <c r="K519" i="15"/>
  <c r="M242" i="16"/>
  <c r="L247" i="16"/>
  <c r="N249" i="16"/>
  <c r="L278" i="16"/>
  <c r="N280" i="16"/>
  <c r="J312" i="16"/>
  <c r="K315" i="16"/>
  <c r="K359" i="16"/>
  <c r="I350" i="16"/>
  <c r="K350" i="16" s="1"/>
  <c r="I368" i="16"/>
  <c r="K368" i="16" s="1"/>
  <c r="K390" i="16"/>
  <c r="I63" i="17"/>
  <c r="K63" i="17" s="1"/>
  <c r="I52" i="17"/>
  <c r="K52" i="17" s="1"/>
  <c r="K62" i="17"/>
  <c r="I114" i="17"/>
  <c r="K114" i="17" s="1"/>
  <c r="K125" i="17"/>
  <c r="N172" i="17"/>
  <c r="L171" i="17"/>
  <c r="N333" i="17"/>
  <c r="L332" i="17"/>
  <c r="K390" i="17"/>
  <c r="L428" i="17"/>
  <c r="N429" i="17"/>
  <c r="K510" i="17"/>
  <c r="K508" i="17"/>
  <c r="K504" i="17"/>
  <c r="K507" i="17"/>
  <c r="I490" i="17"/>
  <c r="K490" i="17" s="1"/>
  <c r="K505" i="17"/>
  <c r="I20" i="18"/>
  <c r="K22" i="18"/>
  <c r="N35" i="18"/>
  <c r="L32" i="18"/>
  <c r="N32" i="18" s="1"/>
  <c r="K138" i="18"/>
  <c r="I129" i="18"/>
  <c r="K155" i="18"/>
  <c r="I149" i="18"/>
  <c r="K318" i="18"/>
  <c r="J316" i="18"/>
  <c r="K316" i="18" s="1"/>
  <c r="I311" i="19"/>
  <c r="K111" i="20"/>
  <c r="I101" i="20"/>
  <c r="K101" i="20" s="1"/>
  <c r="K271" i="20"/>
  <c r="I270" i="20"/>
  <c r="K270" i="20" s="1"/>
  <c r="J312" i="20"/>
  <c r="K315" i="20"/>
  <c r="L171" i="14"/>
  <c r="L332" i="14"/>
  <c r="I344" i="14"/>
  <c r="L352" i="14"/>
  <c r="L459" i="14"/>
  <c r="I32" i="15"/>
  <c r="K32" i="15" s="1"/>
  <c r="L54" i="15"/>
  <c r="L91" i="15"/>
  <c r="L103" i="15"/>
  <c r="L116" i="15"/>
  <c r="I149" i="15"/>
  <c r="L171" i="15"/>
  <c r="L332" i="15"/>
  <c r="I344" i="15"/>
  <c r="L352" i="15"/>
  <c r="L459" i="15"/>
  <c r="K44" i="16"/>
  <c r="I32" i="16"/>
  <c r="K32" i="16" s="1"/>
  <c r="N92" i="16"/>
  <c r="L91" i="16"/>
  <c r="N104" i="16"/>
  <c r="L103" i="16"/>
  <c r="K155" i="16"/>
  <c r="I149" i="16"/>
  <c r="K228" i="16"/>
  <c r="K235" i="16"/>
  <c r="I262" i="16"/>
  <c r="K271" i="16"/>
  <c r="I270" i="16"/>
  <c r="K270" i="16" s="1"/>
  <c r="N460" i="16"/>
  <c r="L459" i="16"/>
  <c r="K527" i="16"/>
  <c r="K22" i="17"/>
  <c r="N55" i="17"/>
  <c r="L54" i="17"/>
  <c r="I74" i="17"/>
  <c r="K74" i="17" s="1"/>
  <c r="N117" i="17"/>
  <c r="L116" i="17"/>
  <c r="I262" i="17"/>
  <c r="K264" i="17"/>
  <c r="J312" i="17"/>
  <c r="K391" i="17"/>
  <c r="J457" i="17"/>
  <c r="K457" i="17" s="1"/>
  <c r="K466" i="17"/>
  <c r="N148" i="18"/>
  <c r="L146" i="18"/>
  <c r="I311" i="18"/>
  <c r="J325" i="18"/>
  <c r="K345" i="18"/>
  <c r="I344" i="18"/>
  <c r="N353" i="18"/>
  <c r="L352" i="18"/>
  <c r="I473" i="18"/>
  <c r="K473" i="18" s="1"/>
  <c r="K484" i="18"/>
  <c r="N493" i="18"/>
  <c r="K510" i="18"/>
  <c r="K508" i="18"/>
  <c r="K504" i="18"/>
  <c r="K507" i="18"/>
  <c r="I490" i="18"/>
  <c r="K490" i="18" s="1"/>
  <c r="K505" i="18"/>
  <c r="K62" i="19"/>
  <c r="I63" i="19"/>
  <c r="K63" i="19" s="1"/>
  <c r="I52" i="19"/>
  <c r="K52" i="19" s="1"/>
  <c r="K361" i="19"/>
  <c r="I369" i="19"/>
  <c r="K369" i="19" s="1"/>
  <c r="I377" i="19"/>
  <c r="K377" i="19" s="1"/>
  <c r="M475" i="19"/>
  <c r="M473" i="19" s="1"/>
  <c r="M242" i="19" s="1"/>
  <c r="N477" i="19"/>
  <c r="L171" i="20"/>
  <c r="N173" i="20"/>
  <c r="K440" i="17"/>
  <c r="I426" i="17"/>
  <c r="K426" i="17" s="1"/>
  <c r="I473" i="17"/>
  <c r="K473" i="17" s="1"/>
  <c r="K484" i="17"/>
  <c r="N172" i="18"/>
  <c r="L171" i="18"/>
  <c r="N333" i="18"/>
  <c r="L332" i="18"/>
  <c r="I377" i="18"/>
  <c r="K377" i="18" s="1"/>
  <c r="K390" i="18"/>
  <c r="I20" i="19"/>
  <c r="K22" i="19"/>
  <c r="N117" i="19"/>
  <c r="L116" i="19"/>
  <c r="L73" i="19"/>
  <c r="N73" i="19" s="1"/>
  <c r="K323" i="19"/>
  <c r="J321" i="19"/>
  <c r="K321" i="19" s="1"/>
  <c r="K390" i="19"/>
  <c r="K453" i="19"/>
  <c r="I444" i="19"/>
  <c r="K444" i="19" s="1"/>
  <c r="N35" i="20"/>
  <c r="L32" i="20"/>
  <c r="N32" i="20" s="1"/>
  <c r="I169" i="20"/>
  <c r="K169" i="20" s="1"/>
  <c r="L230" i="20"/>
  <c r="N231" i="20"/>
  <c r="I325" i="20"/>
  <c r="J325" i="20"/>
  <c r="K327" i="20"/>
  <c r="L446" i="20"/>
  <c r="N448" i="20"/>
  <c r="I262" i="21"/>
  <c r="K264" i="21"/>
  <c r="K345" i="21"/>
  <c r="I344" i="21"/>
  <c r="K83" i="22"/>
  <c r="I74" i="22"/>
  <c r="K74" i="22" s="1"/>
  <c r="L230" i="16"/>
  <c r="I325" i="16"/>
  <c r="I369" i="16"/>
  <c r="K369" i="16" s="1"/>
  <c r="I265" i="17"/>
  <c r="K265" i="17" s="1"/>
  <c r="I270" i="17"/>
  <c r="K270" i="17" s="1"/>
  <c r="N354" i="17"/>
  <c r="N9" i="18"/>
  <c r="N12" i="18"/>
  <c r="I262" i="18"/>
  <c r="K264" i="18"/>
  <c r="K391" i="18"/>
  <c r="I444" i="18"/>
  <c r="K444" i="18" s="1"/>
  <c r="N476" i="18"/>
  <c r="L475" i="18"/>
  <c r="N35" i="19"/>
  <c r="L32" i="19"/>
  <c r="N32" i="19" s="1"/>
  <c r="I270" i="19"/>
  <c r="K270" i="19" s="1"/>
  <c r="K272" i="19"/>
  <c r="L278" i="20"/>
  <c r="N280" i="20"/>
  <c r="K292" i="20"/>
  <c r="I275" i="20"/>
  <c r="J316" i="20"/>
  <c r="K316" i="20" s="1"/>
  <c r="K320" i="20"/>
  <c r="K527" i="20"/>
  <c r="N55" i="21"/>
  <c r="L54" i="21"/>
  <c r="K519" i="17"/>
  <c r="N55" i="19"/>
  <c r="L54" i="19"/>
  <c r="N92" i="19"/>
  <c r="L91" i="19"/>
  <c r="N104" i="19"/>
  <c r="L103" i="19"/>
  <c r="K155" i="19"/>
  <c r="I149" i="19"/>
  <c r="N333" i="19"/>
  <c r="L332" i="19"/>
  <c r="K391" i="19"/>
  <c r="N476" i="19"/>
  <c r="L475" i="19"/>
  <c r="K510" i="19"/>
  <c r="K508" i="19"/>
  <c r="K504" i="19"/>
  <c r="K507" i="19"/>
  <c r="I490" i="19"/>
  <c r="K490" i="19" s="1"/>
  <c r="K509" i="19"/>
  <c r="K512" i="19"/>
  <c r="K236" i="20"/>
  <c r="I228" i="20"/>
  <c r="K228" i="20" s="1"/>
  <c r="L247" i="20"/>
  <c r="N249" i="20"/>
  <c r="I262" i="20"/>
  <c r="K264" i="20"/>
  <c r="J321" i="20"/>
  <c r="K321" i="20" s="1"/>
  <c r="K324" i="20"/>
  <c r="K517" i="20"/>
  <c r="K515" i="20"/>
  <c r="K513" i="20"/>
  <c r="K514" i="20"/>
  <c r="K518" i="20"/>
  <c r="N117" i="21"/>
  <c r="L116" i="21"/>
  <c r="L73" i="21"/>
  <c r="L459" i="17"/>
  <c r="I32" i="18"/>
  <c r="K32" i="18" s="1"/>
  <c r="L54" i="18"/>
  <c r="L91" i="18"/>
  <c r="I265" i="18"/>
  <c r="K265" i="18" s="1"/>
  <c r="L459" i="18"/>
  <c r="I114" i="19"/>
  <c r="K114" i="19" s="1"/>
  <c r="K125" i="19"/>
  <c r="N172" i="19"/>
  <c r="L171" i="19"/>
  <c r="K236" i="19"/>
  <c r="K440" i="19"/>
  <c r="I426" i="19"/>
  <c r="K426" i="19" s="1"/>
  <c r="N461" i="19"/>
  <c r="I473" i="19"/>
  <c r="K473" i="19" s="1"/>
  <c r="K484" i="19"/>
  <c r="K524" i="19"/>
  <c r="I20" i="20"/>
  <c r="K22" i="20"/>
  <c r="K89" i="20"/>
  <c r="K322" i="20"/>
  <c r="I296" i="20"/>
  <c r="K296" i="20" s="1"/>
  <c r="K359" i="20"/>
  <c r="I350" i="20"/>
  <c r="K350" i="20" s="1"/>
  <c r="I376" i="20"/>
  <c r="K376" i="20" s="1"/>
  <c r="I368" i="20"/>
  <c r="K368" i="20" s="1"/>
  <c r="M6" i="21"/>
  <c r="M332" i="21"/>
  <c r="M330" i="21" s="1"/>
  <c r="M242" i="21" s="1"/>
  <c r="N334" i="21"/>
  <c r="I20" i="22"/>
  <c r="K22" i="22"/>
  <c r="N460" i="20"/>
  <c r="L459" i="20"/>
  <c r="K511" i="20"/>
  <c r="K509" i="20"/>
  <c r="K505" i="20"/>
  <c r="K510" i="20"/>
  <c r="K508" i="20"/>
  <c r="K504" i="20"/>
  <c r="K44" i="21"/>
  <c r="I32" i="21"/>
  <c r="K32" i="21" s="1"/>
  <c r="N92" i="21"/>
  <c r="L91" i="21"/>
  <c r="N104" i="21"/>
  <c r="L103" i="21"/>
  <c r="N131" i="21"/>
  <c r="L129" i="21"/>
  <c r="N129" i="21" s="1"/>
  <c r="N203" i="21"/>
  <c r="L201" i="21"/>
  <c r="K369" i="21"/>
  <c r="K390" i="21"/>
  <c r="N55" i="22"/>
  <c r="L54" i="22"/>
  <c r="I265" i="19"/>
  <c r="K265" i="19" s="1"/>
  <c r="L459" i="19"/>
  <c r="K263" i="20"/>
  <c r="I245" i="20"/>
  <c r="K245" i="20" s="1"/>
  <c r="I267" i="20"/>
  <c r="K267" i="20" s="1"/>
  <c r="I265" i="20"/>
  <c r="K265" i="20" s="1"/>
  <c r="L299" i="20"/>
  <c r="N301" i="20"/>
  <c r="N9" i="21"/>
  <c r="I63" i="21"/>
  <c r="K63" i="21" s="1"/>
  <c r="I52" i="21"/>
  <c r="K52" i="21" s="1"/>
  <c r="K62" i="21"/>
  <c r="I114" i="21"/>
  <c r="K114" i="21" s="1"/>
  <c r="K125" i="21"/>
  <c r="N172" i="21"/>
  <c r="L171" i="21"/>
  <c r="K453" i="21"/>
  <c r="I444" i="21"/>
  <c r="K444" i="21" s="1"/>
  <c r="N117" i="22"/>
  <c r="L116" i="22"/>
  <c r="L73" i="22"/>
  <c r="N172" i="22"/>
  <c r="L171" i="22"/>
  <c r="N333" i="21"/>
  <c r="L332" i="21"/>
  <c r="N353" i="21"/>
  <c r="L352" i="21"/>
  <c r="K391" i="21"/>
  <c r="I369" i="20"/>
  <c r="K369" i="20" s="1"/>
  <c r="K155" i="21"/>
  <c r="I149" i="21"/>
  <c r="K236" i="21"/>
  <c r="K440" i="21"/>
  <c r="I426" i="21"/>
  <c r="K426" i="21" s="1"/>
  <c r="N460" i="21"/>
  <c r="L459" i="21"/>
  <c r="M6" i="22"/>
  <c r="I63" i="22"/>
  <c r="K63" i="22" s="1"/>
  <c r="I52" i="22"/>
  <c r="K52" i="22" s="1"/>
  <c r="K62" i="22"/>
  <c r="I114" i="22"/>
  <c r="K114" i="22" s="1"/>
  <c r="K125" i="22"/>
  <c r="L230" i="22"/>
  <c r="N231" i="22"/>
  <c r="K517" i="21"/>
  <c r="K515" i="21"/>
  <c r="K513" i="21"/>
  <c r="K514" i="21"/>
  <c r="L187" i="22"/>
  <c r="N188" i="22"/>
  <c r="K511" i="21"/>
  <c r="K509" i="21"/>
  <c r="K505" i="21"/>
  <c r="K510" i="21"/>
  <c r="K508" i="21"/>
  <c r="K504" i="21"/>
  <c r="K523" i="21"/>
  <c r="K44" i="22"/>
  <c r="I32" i="22"/>
  <c r="K32" i="22" s="1"/>
  <c r="N92" i="22"/>
  <c r="L91" i="22"/>
  <c r="N104" i="22"/>
  <c r="L103" i="22"/>
  <c r="K236" i="22"/>
  <c r="I228" i="22"/>
  <c r="K228" i="22" s="1"/>
  <c r="N333" i="22"/>
  <c r="L332" i="22"/>
  <c r="N476" i="22"/>
  <c r="L475" i="22"/>
  <c r="K155" i="22"/>
  <c r="I149" i="22"/>
  <c r="I377" i="22"/>
  <c r="K377" i="22" s="1"/>
  <c r="N494" i="22"/>
  <c r="K326" i="22"/>
  <c r="K345" i="22"/>
  <c r="I344" i="22"/>
  <c r="N353" i="22"/>
  <c r="L352" i="22"/>
  <c r="N430" i="22"/>
  <c r="K466" i="22"/>
  <c r="N493" i="22"/>
  <c r="K507" i="22"/>
  <c r="I490" i="22"/>
  <c r="K490" i="22" s="1"/>
  <c r="K506" i="22"/>
  <c r="I369" i="22"/>
  <c r="K369" i="22" s="1"/>
  <c r="K440" i="22"/>
  <c r="I426" i="22"/>
  <c r="K426" i="22" s="1"/>
  <c r="K508" i="22"/>
  <c r="K510" i="22"/>
  <c r="K524" i="22"/>
  <c r="I68" i="8" l="1"/>
  <c r="K68" i="8" s="1"/>
  <c r="N230" i="19"/>
  <c r="I68" i="14"/>
  <c r="K68" i="14" s="1"/>
  <c r="N187" i="9"/>
  <c r="N492" i="20"/>
  <c r="L244" i="13"/>
  <c r="N244" i="13" s="1"/>
  <c r="L185" i="20"/>
  <c r="N185" i="20" s="1"/>
  <c r="N278" i="21"/>
  <c r="L74" i="18"/>
  <c r="N74" i="18" s="1"/>
  <c r="L185" i="19"/>
  <c r="N185" i="19" s="1"/>
  <c r="N247" i="9"/>
  <c r="I10" i="3"/>
  <c r="K10" i="3" s="1"/>
  <c r="N201" i="12"/>
  <c r="L473" i="2"/>
  <c r="N473" i="2" s="1"/>
  <c r="L296" i="2"/>
  <c r="N296" i="2" s="1"/>
  <c r="N76" i="14"/>
  <c r="N278" i="19"/>
  <c r="N76" i="15"/>
  <c r="K528" i="1"/>
  <c r="L244" i="6"/>
  <c r="N244" i="6" s="1"/>
  <c r="L426" i="16"/>
  <c r="N426" i="16" s="1"/>
  <c r="L296" i="14"/>
  <c r="N296" i="14" s="1"/>
  <c r="N187" i="17"/>
  <c r="I68" i="9"/>
  <c r="K68" i="9" s="1"/>
  <c r="K240" i="1"/>
  <c r="I10" i="7"/>
  <c r="K10" i="7" s="1"/>
  <c r="N187" i="13"/>
  <c r="N76" i="11"/>
  <c r="I10" i="16"/>
  <c r="K10" i="16" s="1"/>
  <c r="K490" i="5"/>
  <c r="K490" i="4"/>
  <c r="L129" i="9"/>
  <c r="N129" i="9" s="1"/>
  <c r="K526" i="1"/>
  <c r="I68" i="21"/>
  <c r="K68" i="21" s="1"/>
  <c r="N428" i="21"/>
  <c r="K325" i="9"/>
  <c r="N171" i="16"/>
  <c r="N187" i="2"/>
  <c r="L490" i="21"/>
  <c r="N490" i="21" s="1"/>
  <c r="N187" i="18"/>
  <c r="L350" i="17"/>
  <c r="N350" i="17" s="1"/>
  <c r="N492" i="16"/>
  <c r="L296" i="11"/>
  <c r="N296" i="11" s="1"/>
  <c r="L169" i="4"/>
  <c r="N169" i="4" s="1"/>
  <c r="L444" i="12"/>
  <c r="N444" i="12" s="1"/>
  <c r="L214" i="4"/>
  <c r="N214" i="4" s="1"/>
  <c r="K20" i="4"/>
  <c r="L426" i="11"/>
  <c r="N426" i="11" s="1"/>
  <c r="L185" i="3"/>
  <c r="N185" i="3" s="1"/>
  <c r="L426" i="2"/>
  <c r="N426" i="2" s="1"/>
  <c r="K523" i="1"/>
  <c r="L426" i="15"/>
  <c r="N426" i="15" s="1"/>
  <c r="L473" i="7"/>
  <c r="N473" i="7" s="1"/>
  <c r="I68" i="16"/>
  <c r="K68" i="16" s="1"/>
  <c r="I68" i="6"/>
  <c r="K68" i="6" s="1"/>
  <c r="K149" i="4"/>
  <c r="N187" i="11"/>
  <c r="L228" i="3"/>
  <c r="N228" i="3" s="1"/>
  <c r="L114" i="18"/>
  <c r="N114" i="18" s="1"/>
  <c r="K484" i="1"/>
  <c r="N216" i="6"/>
  <c r="L199" i="9"/>
  <c r="N199" i="9" s="1"/>
  <c r="K236" i="1"/>
  <c r="L228" i="17"/>
  <c r="N228" i="17" s="1"/>
  <c r="L214" i="12"/>
  <c r="N214" i="12" s="1"/>
  <c r="N131" i="22"/>
  <c r="I68" i="4"/>
  <c r="K68" i="4" s="1"/>
  <c r="L214" i="15"/>
  <c r="N214" i="15" s="1"/>
  <c r="L199" i="4"/>
  <c r="N199" i="4" s="1"/>
  <c r="K235" i="1"/>
  <c r="K325" i="10"/>
  <c r="L228" i="2"/>
  <c r="N228" i="2" s="1"/>
  <c r="N116" i="20"/>
  <c r="I9" i="17"/>
  <c r="K9" i="17" s="1"/>
  <c r="K325" i="3"/>
  <c r="N247" i="3"/>
  <c r="L275" i="18"/>
  <c r="N275" i="18" s="1"/>
  <c r="K21" i="20"/>
  <c r="N428" i="7"/>
  <c r="N230" i="7"/>
  <c r="L473" i="9"/>
  <c r="N473" i="9" s="1"/>
  <c r="N76" i="10"/>
  <c r="L214" i="13"/>
  <c r="N214" i="13" s="1"/>
  <c r="N146" i="22"/>
  <c r="N299" i="19"/>
  <c r="I10" i="2"/>
  <c r="K10" i="2" s="1"/>
  <c r="L490" i="7"/>
  <c r="N490" i="7" s="1"/>
  <c r="L214" i="21"/>
  <c r="N214" i="21" s="1"/>
  <c r="N230" i="21"/>
  <c r="L228" i="11"/>
  <c r="N228" i="11" s="1"/>
  <c r="I10" i="22"/>
  <c r="K10" i="22" s="1"/>
  <c r="L296" i="18"/>
  <c r="N296" i="18" s="1"/>
  <c r="N299" i="12"/>
  <c r="K325" i="4"/>
  <c r="N76" i="20"/>
  <c r="L473" i="16"/>
  <c r="N473" i="16" s="1"/>
  <c r="L426" i="13"/>
  <c r="N426" i="13" s="1"/>
  <c r="N492" i="8"/>
  <c r="L296" i="8"/>
  <c r="N296" i="8" s="1"/>
  <c r="L129" i="6"/>
  <c r="N129" i="6" s="1"/>
  <c r="L71" i="9"/>
  <c r="L444" i="10"/>
  <c r="N444" i="10" s="1"/>
  <c r="K262" i="10"/>
  <c r="K262" i="14"/>
  <c r="L444" i="19"/>
  <c r="N444" i="19" s="1"/>
  <c r="L244" i="17"/>
  <c r="N244" i="17" s="1"/>
  <c r="K524" i="1"/>
  <c r="J325" i="22"/>
  <c r="J325" i="1" s="1"/>
  <c r="N475" i="20"/>
  <c r="L185" i="15"/>
  <c r="N185" i="15" s="1"/>
  <c r="N146" i="3"/>
  <c r="L296" i="21"/>
  <c r="N296" i="21" s="1"/>
  <c r="K20" i="9"/>
  <c r="K527" i="1"/>
  <c r="N146" i="21"/>
  <c r="K512" i="1"/>
  <c r="N187" i="4"/>
  <c r="I10" i="9"/>
  <c r="K10" i="9" s="1"/>
  <c r="L71" i="19"/>
  <c r="N71" i="19" s="1"/>
  <c r="J311" i="12"/>
  <c r="J297" i="12" s="1"/>
  <c r="K297" i="12" s="1"/>
  <c r="J311" i="10"/>
  <c r="J297" i="10" s="1"/>
  <c r="K297" i="10" s="1"/>
  <c r="K245" i="10"/>
  <c r="I10" i="8"/>
  <c r="K10" i="8" s="1"/>
  <c r="L330" i="4"/>
  <c r="N330" i="4" s="1"/>
  <c r="N76" i="9"/>
  <c r="K325" i="6"/>
  <c r="J311" i="21"/>
  <c r="J297" i="21" s="1"/>
  <c r="K297" i="21" s="1"/>
  <c r="I330" i="16"/>
  <c r="K330" i="16" s="1"/>
  <c r="L275" i="12"/>
  <c r="N275" i="12" s="1"/>
  <c r="K245" i="6"/>
  <c r="L490" i="14"/>
  <c r="N490" i="14" s="1"/>
  <c r="N146" i="14"/>
  <c r="K20" i="8"/>
  <c r="L490" i="22"/>
  <c r="N490" i="22" s="1"/>
  <c r="I330" i="20"/>
  <c r="K330" i="20" s="1"/>
  <c r="N146" i="19"/>
  <c r="K149" i="20"/>
  <c r="N187" i="10"/>
  <c r="L185" i="8"/>
  <c r="N185" i="8" s="1"/>
  <c r="N230" i="9"/>
  <c r="L473" i="3"/>
  <c r="N473" i="3" s="1"/>
  <c r="N278" i="2"/>
  <c r="L129" i="10"/>
  <c r="N129" i="10" s="1"/>
  <c r="L473" i="4"/>
  <c r="N473" i="4" s="1"/>
  <c r="L144" i="7"/>
  <c r="N144" i="7" s="1"/>
  <c r="K325" i="17"/>
  <c r="K144" i="20"/>
  <c r="L444" i="13"/>
  <c r="N444" i="13" s="1"/>
  <c r="N76" i="17"/>
  <c r="L244" i="22"/>
  <c r="N244" i="22" s="1"/>
  <c r="L350" i="16"/>
  <c r="N350" i="16" s="1"/>
  <c r="N278" i="8"/>
  <c r="N146" i="6"/>
  <c r="L473" i="21"/>
  <c r="N473" i="21" s="1"/>
  <c r="L275" i="6"/>
  <c r="N275" i="6" s="1"/>
  <c r="L199" i="18"/>
  <c r="N199" i="18" s="1"/>
  <c r="K325" i="2"/>
  <c r="K325" i="19"/>
  <c r="K262" i="13"/>
  <c r="L296" i="13"/>
  <c r="N296" i="13" s="1"/>
  <c r="L275" i="15"/>
  <c r="N275" i="15" s="1"/>
  <c r="L426" i="9"/>
  <c r="N426" i="9" s="1"/>
  <c r="K238" i="1"/>
  <c r="J311" i="11"/>
  <c r="J297" i="11" s="1"/>
  <c r="K297" i="11" s="1"/>
  <c r="L214" i="7"/>
  <c r="N214" i="7" s="1"/>
  <c r="I9" i="6"/>
  <c r="K9" i="6" s="1"/>
  <c r="N278" i="3"/>
  <c r="K21" i="6"/>
  <c r="N334" i="1"/>
  <c r="L144" i="20"/>
  <c r="N144" i="20" s="1"/>
  <c r="L426" i="22"/>
  <c r="N426" i="22" s="1"/>
  <c r="J311" i="22"/>
  <c r="J297" i="22" s="1"/>
  <c r="K297" i="22" s="1"/>
  <c r="K325" i="20"/>
  <c r="N428" i="18"/>
  <c r="K262" i="15"/>
  <c r="L144" i="12"/>
  <c r="N144" i="12" s="1"/>
  <c r="I10" i="10"/>
  <c r="K10" i="10" s="1"/>
  <c r="J311" i="8"/>
  <c r="J297" i="8" s="1"/>
  <c r="K297" i="8" s="1"/>
  <c r="L228" i="10"/>
  <c r="N228" i="10" s="1"/>
  <c r="N492" i="2"/>
  <c r="N201" i="2"/>
  <c r="L426" i="3"/>
  <c r="N426" i="3" s="1"/>
  <c r="I10" i="4"/>
  <c r="K10" i="4" s="1"/>
  <c r="L74" i="13"/>
  <c r="N74" i="13" s="1"/>
  <c r="L228" i="14"/>
  <c r="N228" i="14" s="1"/>
  <c r="L199" i="6"/>
  <c r="N199" i="6" s="1"/>
  <c r="L214" i="22"/>
  <c r="N214" i="22" s="1"/>
  <c r="N216" i="11"/>
  <c r="L214" i="11"/>
  <c r="N214" i="11" s="1"/>
  <c r="L296" i="10"/>
  <c r="N296" i="10" s="1"/>
  <c r="L296" i="22"/>
  <c r="N296" i="22" s="1"/>
  <c r="N247" i="19"/>
  <c r="K325" i="18"/>
  <c r="L444" i="14"/>
  <c r="N444" i="14" s="1"/>
  <c r="L129" i="15"/>
  <c r="N129" i="15" s="1"/>
  <c r="N278" i="14"/>
  <c r="K262" i="11"/>
  <c r="L228" i="13"/>
  <c r="N228" i="13" s="1"/>
  <c r="L444" i="15"/>
  <c r="N444" i="15" s="1"/>
  <c r="L296" i="9"/>
  <c r="N296" i="9" s="1"/>
  <c r="I68" i="5"/>
  <c r="K68" i="5" s="1"/>
  <c r="L244" i="11"/>
  <c r="N244" i="11" s="1"/>
  <c r="N230" i="4"/>
  <c r="K325" i="21"/>
  <c r="L457" i="22"/>
  <c r="N457" i="22" s="1"/>
  <c r="I68" i="13"/>
  <c r="K68" i="13" s="1"/>
  <c r="L74" i="21"/>
  <c r="N74" i="21" s="1"/>
  <c r="L228" i="12"/>
  <c r="N228" i="12" s="1"/>
  <c r="N201" i="5"/>
  <c r="K522" i="1"/>
  <c r="L296" i="3"/>
  <c r="N296" i="3" s="1"/>
  <c r="K325" i="8"/>
  <c r="L244" i="15"/>
  <c r="N244" i="15" s="1"/>
  <c r="L444" i="22"/>
  <c r="N444" i="22" s="1"/>
  <c r="I68" i="15"/>
  <c r="K68" i="15" s="1"/>
  <c r="N247" i="21"/>
  <c r="N201" i="17"/>
  <c r="K262" i="6"/>
  <c r="L228" i="8"/>
  <c r="N228" i="8" s="1"/>
  <c r="K525" i="1"/>
  <c r="K482" i="1"/>
  <c r="J228" i="1"/>
  <c r="N76" i="22"/>
  <c r="N103" i="18"/>
  <c r="L199" i="14"/>
  <c r="N199" i="14" s="1"/>
  <c r="L296" i="6"/>
  <c r="N296" i="6" s="1"/>
  <c r="L244" i="7"/>
  <c r="N244" i="7" s="1"/>
  <c r="N216" i="14"/>
  <c r="L214" i="14"/>
  <c r="N214" i="14" s="1"/>
  <c r="N278" i="17"/>
  <c r="L275" i="17"/>
  <c r="N275" i="17" s="1"/>
  <c r="I68" i="22"/>
  <c r="K68" i="22" s="1"/>
  <c r="J311" i="15"/>
  <c r="J297" i="15" s="1"/>
  <c r="K297" i="15" s="1"/>
  <c r="N299" i="7"/>
  <c r="I10" i="5"/>
  <c r="K10" i="5" s="1"/>
  <c r="I330" i="4"/>
  <c r="K330" i="4" s="1"/>
  <c r="K486" i="1"/>
  <c r="L490" i="12"/>
  <c r="N490" i="12" s="1"/>
  <c r="L296" i="17"/>
  <c r="N296" i="17" s="1"/>
  <c r="N146" i="4"/>
  <c r="L144" i="4"/>
  <c r="N144" i="4" s="1"/>
  <c r="I10" i="21"/>
  <c r="K10" i="21" s="1"/>
  <c r="I10" i="17"/>
  <c r="K10" i="17" s="1"/>
  <c r="K228" i="14"/>
  <c r="L129" i="17"/>
  <c r="N129" i="17" s="1"/>
  <c r="N76" i="12"/>
  <c r="L490" i="9"/>
  <c r="N490" i="9" s="1"/>
  <c r="L228" i="15"/>
  <c r="N228" i="15" s="1"/>
  <c r="K262" i="12"/>
  <c r="L275" i="13"/>
  <c r="N275" i="13" s="1"/>
  <c r="L490" i="10"/>
  <c r="N490" i="10" s="1"/>
  <c r="J311" i="3"/>
  <c r="J297" i="3" s="1"/>
  <c r="K297" i="3" s="1"/>
  <c r="N76" i="7"/>
  <c r="L275" i="9"/>
  <c r="N275" i="9" s="1"/>
  <c r="I68" i="3"/>
  <c r="K68" i="3" s="1"/>
  <c r="I10" i="19"/>
  <c r="K10" i="19" s="1"/>
  <c r="L71" i="4"/>
  <c r="L275" i="7"/>
  <c r="N275" i="7" s="1"/>
  <c r="N187" i="21"/>
  <c r="L426" i="20"/>
  <c r="N426" i="20" s="1"/>
  <c r="L199" i="20"/>
  <c r="N199" i="20" s="1"/>
  <c r="L228" i="18"/>
  <c r="N228" i="18" s="1"/>
  <c r="L444" i="17"/>
  <c r="N444" i="17" s="1"/>
  <c r="L473" i="8"/>
  <c r="N473" i="8" s="1"/>
  <c r="L426" i="8"/>
  <c r="N426" i="8" s="1"/>
  <c r="K521" i="1"/>
  <c r="N492" i="3"/>
  <c r="L350" i="4"/>
  <c r="N350" i="4" s="1"/>
  <c r="L129" i="4"/>
  <c r="N129" i="4" s="1"/>
  <c r="L473" i="5"/>
  <c r="N473" i="5" s="1"/>
  <c r="K488" i="1"/>
  <c r="N103" i="20"/>
  <c r="L101" i="20"/>
  <c r="N101" i="20" s="1"/>
  <c r="L71" i="2"/>
  <c r="N201" i="16"/>
  <c r="L199" i="16"/>
  <c r="N199" i="16" s="1"/>
  <c r="L71" i="12"/>
  <c r="L68" i="12" s="1"/>
  <c r="N68" i="12" s="1"/>
  <c r="J311" i="13"/>
  <c r="J297" i="13" s="1"/>
  <c r="K297" i="13" s="1"/>
  <c r="J311" i="7"/>
  <c r="N131" i="19"/>
  <c r="L129" i="19"/>
  <c r="N129" i="19" s="1"/>
  <c r="K325" i="16"/>
  <c r="K325" i="7"/>
  <c r="N247" i="18"/>
  <c r="L244" i="18"/>
  <c r="N244" i="18" s="1"/>
  <c r="N247" i="8"/>
  <c r="L244" i="8"/>
  <c r="N244" i="8" s="1"/>
  <c r="N76" i="3"/>
  <c r="L74" i="3"/>
  <c r="N74" i="3" s="1"/>
  <c r="N76" i="2"/>
  <c r="L74" i="19"/>
  <c r="N74" i="19" s="1"/>
  <c r="N76" i="19"/>
  <c r="N216" i="20"/>
  <c r="L214" i="20"/>
  <c r="N214" i="20" s="1"/>
  <c r="N76" i="4"/>
  <c r="L74" i="4"/>
  <c r="N74" i="4" s="1"/>
  <c r="N247" i="2"/>
  <c r="L244" i="2"/>
  <c r="N244" i="2" s="1"/>
  <c r="I68" i="19"/>
  <c r="K68" i="19" s="1"/>
  <c r="I10" i="14"/>
  <c r="K10" i="14" s="1"/>
  <c r="K21" i="14"/>
  <c r="K325" i="14"/>
  <c r="I68" i="11"/>
  <c r="K68" i="11" s="1"/>
  <c r="K129" i="12"/>
  <c r="I68" i="12"/>
  <c r="K68" i="12" s="1"/>
  <c r="L428" i="1"/>
  <c r="N428" i="1" s="1"/>
  <c r="N492" i="18"/>
  <c r="L490" i="18"/>
  <c r="N490" i="18" s="1"/>
  <c r="N216" i="19"/>
  <c r="L214" i="19"/>
  <c r="N214" i="19" s="1"/>
  <c r="N332" i="20"/>
  <c r="L330" i="20"/>
  <c r="N330" i="20" s="1"/>
  <c r="N73" i="15"/>
  <c r="L71" i="15"/>
  <c r="I9" i="16"/>
  <c r="K9" i="16" s="1"/>
  <c r="K20" i="16"/>
  <c r="I10" i="11"/>
  <c r="K10" i="11" s="1"/>
  <c r="K21" i="11"/>
  <c r="K214" i="5"/>
  <c r="I214" i="1"/>
  <c r="K214" i="1" s="1"/>
  <c r="N216" i="8"/>
  <c r="L214" i="8"/>
  <c r="N214" i="8" s="1"/>
  <c r="K316" i="10"/>
  <c r="N278" i="22"/>
  <c r="L275" i="22"/>
  <c r="N275" i="22" s="1"/>
  <c r="L71" i="20"/>
  <c r="N91" i="20"/>
  <c r="L89" i="20"/>
  <c r="N89" i="20" s="1"/>
  <c r="I9" i="21"/>
  <c r="K9" i="21" s="1"/>
  <c r="K20" i="21"/>
  <c r="N428" i="19"/>
  <c r="L426" i="19"/>
  <c r="N426" i="19" s="1"/>
  <c r="N73" i="13"/>
  <c r="L71" i="13"/>
  <c r="K20" i="10"/>
  <c r="I9" i="10"/>
  <c r="K9" i="10" s="1"/>
  <c r="I10" i="18"/>
  <c r="K10" i="18" s="1"/>
  <c r="K21" i="18"/>
  <c r="I10" i="12"/>
  <c r="K10" i="12" s="1"/>
  <c r="K21" i="12"/>
  <c r="N76" i="8"/>
  <c r="L74" i="8"/>
  <c r="N74" i="8" s="1"/>
  <c r="N446" i="11"/>
  <c r="L444" i="11"/>
  <c r="N444" i="11" s="1"/>
  <c r="J311" i="5"/>
  <c r="N216" i="3"/>
  <c r="L214" i="3"/>
  <c r="N214" i="3" s="1"/>
  <c r="K199" i="2"/>
  <c r="I199" i="1"/>
  <c r="K199" i="1" s="1"/>
  <c r="I68" i="7"/>
  <c r="K68" i="7" s="1"/>
  <c r="L492" i="1"/>
  <c r="N492" i="1" s="1"/>
  <c r="N352" i="20"/>
  <c r="L350" i="20"/>
  <c r="N350" i="20" s="1"/>
  <c r="N446" i="18"/>
  <c r="L444" i="18"/>
  <c r="N444" i="18" s="1"/>
  <c r="K21" i="15"/>
  <c r="I10" i="15"/>
  <c r="K10" i="15" s="1"/>
  <c r="K21" i="13"/>
  <c r="I10" i="13"/>
  <c r="K10" i="13" s="1"/>
  <c r="L71" i="11"/>
  <c r="I21" i="1"/>
  <c r="K21" i="1" s="1"/>
  <c r="K89" i="5"/>
  <c r="I89" i="1"/>
  <c r="K89" i="1" s="1"/>
  <c r="N146" i="8"/>
  <c r="L144" i="8"/>
  <c r="N144" i="8" s="1"/>
  <c r="K20" i="5"/>
  <c r="I9" i="5"/>
  <c r="K9" i="5" s="1"/>
  <c r="K325" i="12"/>
  <c r="K20" i="2"/>
  <c r="I9" i="2"/>
  <c r="K9" i="2" s="1"/>
  <c r="N187" i="22"/>
  <c r="L185" i="22"/>
  <c r="N185" i="22" s="1"/>
  <c r="L114" i="22"/>
  <c r="N114" i="22" s="1"/>
  <c r="N116" i="22"/>
  <c r="L52" i="22"/>
  <c r="N54" i="22"/>
  <c r="N201" i="21"/>
  <c r="L199" i="21"/>
  <c r="N199" i="21" s="1"/>
  <c r="L101" i="21"/>
  <c r="N101" i="21" s="1"/>
  <c r="N103" i="21"/>
  <c r="L457" i="20"/>
  <c r="N457" i="20" s="1"/>
  <c r="N459" i="20"/>
  <c r="L457" i="17"/>
  <c r="N457" i="17" s="1"/>
  <c r="N459" i="17"/>
  <c r="L244" i="20"/>
  <c r="N247" i="20"/>
  <c r="L473" i="19"/>
  <c r="N473" i="19" s="1"/>
  <c r="N475" i="19"/>
  <c r="I144" i="19"/>
  <c r="K144" i="19" s="1"/>
  <c r="K149" i="19"/>
  <c r="L89" i="19"/>
  <c r="N89" i="19" s="1"/>
  <c r="N91" i="19"/>
  <c r="L228" i="16"/>
  <c r="N228" i="16" s="1"/>
  <c r="N230" i="16"/>
  <c r="I9" i="19"/>
  <c r="K9" i="19" s="1"/>
  <c r="K20" i="19"/>
  <c r="L52" i="17"/>
  <c r="N54" i="17"/>
  <c r="L330" i="15"/>
  <c r="N330" i="15" s="1"/>
  <c r="N332" i="15"/>
  <c r="L101" i="15"/>
  <c r="N101" i="15" s="1"/>
  <c r="N103" i="15"/>
  <c r="L457" i="14"/>
  <c r="N457" i="14" s="1"/>
  <c r="N459" i="14"/>
  <c r="L169" i="14"/>
  <c r="N169" i="14" s="1"/>
  <c r="N171" i="14"/>
  <c r="J311" i="20"/>
  <c r="I9" i="18"/>
  <c r="K9" i="18" s="1"/>
  <c r="K20" i="18"/>
  <c r="N428" i="17"/>
  <c r="L426" i="17"/>
  <c r="N426" i="17" s="1"/>
  <c r="J311" i="16"/>
  <c r="K312" i="16"/>
  <c r="N247" i="16"/>
  <c r="L244" i="16"/>
  <c r="I330" i="13"/>
  <c r="K330" i="13" s="1"/>
  <c r="K344" i="13"/>
  <c r="L114" i="13"/>
  <c r="N114" i="13" s="1"/>
  <c r="N116" i="13"/>
  <c r="L330" i="12"/>
  <c r="N330" i="12" s="1"/>
  <c r="N332" i="12"/>
  <c r="L101" i="12"/>
  <c r="N101" i="12" s="1"/>
  <c r="N103" i="12"/>
  <c r="L457" i="11"/>
  <c r="N457" i="11" s="1"/>
  <c r="N459" i="11"/>
  <c r="L169" i="11"/>
  <c r="N169" i="11" s="1"/>
  <c r="N171" i="11"/>
  <c r="L89" i="11"/>
  <c r="N89" i="11" s="1"/>
  <c r="N91" i="11"/>
  <c r="N131" i="18"/>
  <c r="L129" i="18"/>
  <c r="N129" i="18" s="1"/>
  <c r="N146" i="17"/>
  <c r="L144" i="17"/>
  <c r="N144" i="17" s="1"/>
  <c r="I244" i="22"/>
  <c r="K244" i="22" s="1"/>
  <c r="K262" i="22"/>
  <c r="I330" i="19"/>
  <c r="K330" i="19" s="1"/>
  <c r="K344" i="19"/>
  <c r="N201" i="19"/>
  <c r="L199" i="19"/>
  <c r="N199" i="19" s="1"/>
  <c r="L52" i="20"/>
  <c r="N54" i="20"/>
  <c r="K129" i="17"/>
  <c r="I68" i="17"/>
  <c r="K68" i="17" s="1"/>
  <c r="J311" i="14"/>
  <c r="J297" i="14" s="1"/>
  <c r="K297" i="14" s="1"/>
  <c r="L473" i="11"/>
  <c r="N473" i="11" s="1"/>
  <c r="N475" i="11"/>
  <c r="L89" i="14"/>
  <c r="N89" i="14" s="1"/>
  <c r="N91" i="14"/>
  <c r="L101" i="17"/>
  <c r="N101" i="17" s="1"/>
  <c r="N103" i="17"/>
  <c r="K325" i="11"/>
  <c r="N428" i="10"/>
  <c r="L426" i="10"/>
  <c r="N426" i="10" s="1"/>
  <c r="N201" i="10"/>
  <c r="L199" i="10"/>
  <c r="N199" i="10" s="1"/>
  <c r="I244" i="8"/>
  <c r="K244" i="8" s="1"/>
  <c r="K262" i="8"/>
  <c r="L101" i="7"/>
  <c r="N101" i="7" s="1"/>
  <c r="N103" i="7"/>
  <c r="N73" i="7"/>
  <c r="L71" i="7"/>
  <c r="K344" i="6"/>
  <c r="I330" i="6"/>
  <c r="K330" i="6" s="1"/>
  <c r="L169" i="6"/>
  <c r="N169" i="6" s="1"/>
  <c r="N171" i="6"/>
  <c r="L444" i="2"/>
  <c r="N446" i="2"/>
  <c r="L446" i="1"/>
  <c r="N446" i="1" s="1"/>
  <c r="N131" i="14"/>
  <c r="L129" i="14"/>
  <c r="N129" i="14" s="1"/>
  <c r="I9" i="13"/>
  <c r="K9" i="13" s="1"/>
  <c r="K20" i="13"/>
  <c r="N247" i="10"/>
  <c r="L244" i="10"/>
  <c r="I144" i="8"/>
  <c r="K144" i="8" s="1"/>
  <c r="K149" i="8"/>
  <c r="K149" i="6"/>
  <c r="I144" i="6"/>
  <c r="K144" i="6" s="1"/>
  <c r="L330" i="10"/>
  <c r="N330" i="10" s="1"/>
  <c r="N332" i="10"/>
  <c r="L457" i="9"/>
  <c r="N457" i="9" s="1"/>
  <c r="N459" i="9"/>
  <c r="L101" i="9"/>
  <c r="N101" i="9" s="1"/>
  <c r="N103" i="9"/>
  <c r="L350" i="8"/>
  <c r="N350" i="8" s="1"/>
  <c r="N352" i="8"/>
  <c r="L444" i="8"/>
  <c r="N444" i="8" s="1"/>
  <c r="N446" i="8"/>
  <c r="N54" i="6"/>
  <c r="L52" i="6"/>
  <c r="K149" i="5"/>
  <c r="I144" i="5"/>
  <c r="K144" i="5" s="1"/>
  <c r="N54" i="5"/>
  <c r="L52" i="5"/>
  <c r="K312" i="4"/>
  <c r="J311" i="4"/>
  <c r="L457" i="2"/>
  <c r="L459" i="1"/>
  <c r="N459" i="2"/>
  <c r="N73" i="8"/>
  <c r="L71" i="8"/>
  <c r="N278" i="4"/>
  <c r="L278" i="1"/>
  <c r="N278" i="1" s="1"/>
  <c r="L275" i="4"/>
  <c r="K316" i="3"/>
  <c r="L89" i="3"/>
  <c r="N89" i="3" s="1"/>
  <c r="N91" i="3"/>
  <c r="K369" i="2"/>
  <c r="I369" i="1"/>
  <c r="K369" i="1" s="1"/>
  <c r="I244" i="2"/>
  <c r="K262" i="2"/>
  <c r="I262" i="1"/>
  <c r="K262" i="1" s="1"/>
  <c r="K74" i="2"/>
  <c r="I74" i="1"/>
  <c r="K74" i="1" s="1"/>
  <c r="N216" i="16"/>
  <c r="L214" i="16"/>
  <c r="N214" i="16" s="1"/>
  <c r="N461" i="1"/>
  <c r="N492" i="11"/>
  <c r="L490" i="11"/>
  <c r="N490" i="11" s="1"/>
  <c r="L444" i="6"/>
  <c r="N444" i="6" s="1"/>
  <c r="N446" i="6"/>
  <c r="N230" i="6"/>
  <c r="L228" i="6"/>
  <c r="N228" i="6" s="1"/>
  <c r="N459" i="5"/>
  <c r="L457" i="5"/>
  <c r="N457" i="5" s="1"/>
  <c r="K344" i="5"/>
  <c r="I330" i="5"/>
  <c r="K330" i="5" s="1"/>
  <c r="N299" i="5"/>
  <c r="L296" i="5"/>
  <c r="N296" i="5" s="1"/>
  <c r="N91" i="5"/>
  <c r="L89" i="5"/>
  <c r="N89" i="5" s="1"/>
  <c r="K267" i="4"/>
  <c r="I267" i="1"/>
  <c r="K267" i="1" s="1"/>
  <c r="L101" i="4"/>
  <c r="N101" i="4" s="1"/>
  <c r="N103" i="4"/>
  <c r="M475" i="1"/>
  <c r="L350" i="3"/>
  <c r="N350" i="3" s="1"/>
  <c r="N352" i="3"/>
  <c r="N201" i="3"/>
  <c r="L201" i="1"/>
  <c r="N201" i="1" s="1"/>
  <c r="L199" i="3"/>
  <c r="M457" i="1"/>
  <c r="I114" i="1"/>
  <c r="K114" i="1" s="1"/>
  <c r="K114" i="2"/>
  <c r="K63" i="2"/>
  <c r="I63" i="1"/>
  <c r="K63" i="1" s="1"/>
  <c r="N73" i="17"/>
  <c r="L71" i="17"/>
  <c r="N332" i="16"/>
  <c r="L330" i="16"/>
  <c r="N330" i="16" s="1"/>
  <c r="N146" i="11"/>
  <c r="L144" i="11"/>
  <c r="N144" i="11" s="1"/>
  <c r="J457" i="1"/>
  <c r="K325" i="5"/>
  <c r="I325" i="1"/>
  <c r="N247" i="5"/>
  <c r="L244" i="5"/>
  <c r="L52" i="3"/>
  <c r="N54" i="3"/>
  <c r="I368" i="1"/>
  <c r="K368" i="1" s="1"/>
  <c r="I350" i="1"/>
  <c r="M6" i="1"/>
  <c r="K344" i="22"/>
  <c r="I330" i="22"/>
  <c r="K330" i="22" s="1"/>
  <c r="I144" i="22"/>
  <c r="K144" i="22" s="1"/>
  <c r="K149" i="22"/>
  <c r="L330" i="22"/>
  <c r="N330" i="22" s="1"/>
  <c r="N332" i="22"/>
  <c r="L101" i="22"/>
  <c r="N101" i="22" s="1"/>
  <c r="N103" i="22"/>
  <c r="N230" i="22"/>
  <c r="L228" i="22"/>
  <c r="N228" i="22" s="1"/>
  <c r="L457" i="21"/>
  <c r="N457" i="21" s="1"/>
  <c r="N459" i="21"/>
  <c r="I144" i="21"/>
  <c r="K144" i="21" s="1"/>
  <c r="K149" i="21"/>
  <c r="L330" i="21"/>
  <c r="N332" i="21"/>
  <c r="L169" i="22"/>
  <c r="N169" i="22" s="1"/>
  <c r="N171" i="22"/>
  <c r="N299" i="20"/>
  <c r="L296" i="20"/>
  <c r="N296" i="20" s="1"/>
  <c r="I9" i="20"/>
  <c r="K9" i="20" s="1"/>
  <c r="K20" i="20"/>
  <c r="L89" i="18"/>
  <c r="N89" i="18" s="1"/>
  <c r="N91" i="18"/>
  <c r="N73" i="21"/>
  <c r="L71" i="21"/>
  <c r="L473" i="18"/>
  <c r="N473" i="18" s="1"/>
  <c r="N475" i="18"/>
  <c r="L444" i="20"/>
  <c r="N444" i="20" s="1"/>
  <c r="N446" i="20"/>
  <c r="L114" i="19"/>
  <c r="N114" i="19" s="1"/>
  <c r="N116" i="19"/>
  <c r="L169" i="20"/>
  <c r="N169" i="20" s="1"/>
  <c r="N171" i="20"/>
  <c r="I330" i="18"/>
  <c r="K330" i="18" s="1"/>
  <c r="K344" i="18"/>
  <c r="J311" i="17"/>
  <c r="J297" i="17" s="1"/>
  <c r="K297" i="17" s="1"/>
  <c r="K312" i="17"/>
  <c r="L114" i="17"/>
  <c r="N114" i="17" s="1"/>
  <c r="N116" i="17"/>
  <c r="L457" i="16"/>
  <c r="N457" i="16" s="1"/>
  <c r="N459" i="16"/>
  <c r="K149" i="16"/>
  <c r="I144" i="16"/>
  <c r="K144" i="16" s="1"/>
  <c r="L89" i="16"/>
  <c r="N89" i="16" s="1"/>
  <c r="N91" i="16"/>
  <c r="L457" i="15"/>
  <c r="N457" i="15" s="1"/>
  <c r="N459" i="15"/>
  <c r="L169" i="15"/>
  <c r="N169" i="15" s="1"/>
  <c r="N171" i="15"/>
  <c r="L89" i="15"/>
  <c r="N89" i="15" s="1"/>
  <c r="N91" i="15"/>
  <c r="L350" i="14"/>
  <c r="N350" i="14" s="1"/>
  <c r="N352" i="14"/>
  <c r="I144" i="18"/>
  <c r="K144" i="18" s="1"/>
  <c r="K149" i="18"/>
  <c r="N492" i="17"/>
  <c r="L490" i="17"/>
  <c r="N490" i="17" s="1"/>
  <c r="N216" i="17"/>
  <c r="L214" i="17"/>
  <c r="N214" i="17" s="1"/>
  <c r="L330" i="13"/>
  <c r="N330" i="13" s="1"/>
  <c r="N332" i="13"/>
  <c r="L101" i="13"/>
  <c r="N101" i="13" s="1"/>
  <c r="N103" i="13"/>
  <c r="L457" i="12"/>
  <c r="N457" i="12" s="1"/>
  <c r="N459" i="12"/>
  <c r="L169" i="12"/>
  <c r="N169" i="12" s="1"/>
  <c r="N171" i="12"/>
  <c r="L89" i="12"/>
  <c r="N89" i="12" s="1"/>
  <c r="N91" i="12"/>
  <c r="L350" i="11"/>
  <c r="N350" i="11" s="1"/>
  <c r="N352" i="11"/>
  <c r="I144" i="11"/>
  <c r="K144" i="11" s="1"/>
  <c r="K149" i="11"/>
  <c r="L52" i="11"/>
  <c r="N54" i="11"/>
  <c r="N492" i="19"/>
  <c r="L490" i="19"/>
  <c r="N490" i="19" s="1"/>
  <c r="N73" i="18"/>
  <c r="L71" i="18"/>
  <c r="L473" i="13"/>
  <c r="N473" i="13" s="1"/>
  <c r="N475" i="13"/>
  <c r="I9" i="15"/>
  <c r="K9" i="15" s="1"/>
  <c r="K20" i="15"/>
  <c r="I9" i="12"/>
  <c r="K9" i="12" s="1"/>
  <c r="K20" i="12"/>
  <c r="K344" i="10"/>
  <c r="I330" i="10"/>
  <c r="K330" i="10" s="1"/>
  <c r="N201" i="15"/>
  <c r="L199" i="15"/>
  <c r="N199" i="15" s="1"/>
  <c r="L52" i="9"/>
  <c r="N54" i="9"/>
  <c r="L457" i="7"/>
  <c r="N457" i="7" s="1"/>
  <c r="N459" i="7"/>
  <c r="I270" i="1"/>
  <c r="K270" i="1" s="1"/>
  <c r="K270" i="2"/>
  <c r="N32" i="11"/>
  <c r="L32" i="1"/>
  <c r="N32" i="1" s="1"/>
  <c r="I244" i="9"/>
  <c r="K244" i="9" s="1"/>
  <c r="K262" i="9"/>
  <c r="N146" i="9"/>
  <c r="L144" i="9"/>
  <c r="N144" i="9" s="1"/>
  <c r="L89" i="8"/>
  <c r="N89" i="8" s="1"/>
  <c r="N91" i="8"/>
  <c r="L330" i="7"/>
  <c r="N332" i="7"/>
  <c r="N216" i="18"/>
  <c r="L214" i="18"/>
  <c r="N214" i="18" s="1"/>
  <c r="N73" i="16"/>
  <c r="L71" i="16"/>
  <c r="N492" i="15"/>
  <c r="L490" i="15"/>
  <c r="N490" i="15" s="1"/>
  <c r="K169" i="12"/>
  <c r="I169" i="1"/>
  <c r="K169" i="1" s="1"/>
  <c r="L114" i="7"/>
  <c r="N114" i="7" s="1"/>
  <c r="N116" i="7"/>
  <c r="K185" i="12"/>
  <c r="I185" i="1"/>
  <c r="K185" i="1" s="1"/>
  <c r="L101" i="10"/>
  <c r="N101" i="10" s="1"/>
  <c r="N103" i="10"/>
  <c r="L52" i="8"/>
  <c r="N54" i="8"/>
  <c r="N428" i="6"/>
  <c r="L426" i="6"/>
  <c r="N426" i="6" s="1"/>
  <c r="N103" i="6"/>
  <c r="L101" i="6"/>
  <c r="N101" i="6" s="1"/>
  <c r="N352" i="5"/>
  <c r="L350" i="5"/>
  <c r="N350" i="5" s="1"/>
  <c r="N103" i="5"/>
  <c r="L101" i="5"/>
  <c r="N101" i="5" s="1"/>
  <c r="K376" i="4"/>
  <c r="I376" i="1"/>
  <c r="K490" i="2"/>
  <c r="I490" i="1"/>
  <c r="K490" i="1" s="1"/>
  <c r="M330" i="2"/>
  <c r="M332" i="1"/>
  <c r="K129" i="2"/>
  <c r="I129" i="1"/>
  <c r="K129" i="1" s="1"/>
  <c r="N73" i="10"/>
  <c r="L71" i="10"/>
  <c r="L114" i="8"/>
  <c r="N114" i="8" s="1"/>
  <c r="N116" i="8"/>
  <c r="I244" i="7"/>
  <c r="K244" i="7" s="1"/>
  <c r="K262" i="7"/>
  <c r="L457" i="3"/>
  <c r="N457" i="3" s="1"/>
  <c r="N459" i="3"/>
  <c r="K20" i="3"/>
  <c r="I20" i="1"/>
  <c r="K20" i="1" s="1"/>
  <c r="I9" i="3"/>
  <c r="J490" i="1"/>
  <c r="K312" i="2"/>
  <c r="J312" i="1"/>
  <c r="K312" i="1" s="1"/>
  <c r="J311" i="2"/>
  <c r="K311" i="2" s="1"/>
  <c r="L52" i="2"/>
  <c r="L54" i="1"/>
  <c r="N54" i="1" s="1"/>
  <c r="N54" i="2"/>
  <c r="N278" i="10"/>
  <c r="L275" i="10"/>
  <c r="N275" i="10" s="1"/>
  <c r="J311" i="9"/>
  <c r="J297" i="9" s="1"/>
  <c r="K297" i="9" s="1"/>
  <c r="I330" i="7"/>
  <c r="K330" i="7" s="1"/>
  <c r="K344" i="7"/>
  <c r="J144" i="1"/>
  <c r="L426" i="4"/>
  <c r="N426" i="4" s="1"/>
  <c r="N428" i="4"/>
  <c r="L296" i="4"/>
  <c r="N299" i="4"/>
  <c r="L299" i="1"/>
  <c r="N299" i="1" s="1"/>
  <c r="I245" i="1"/>
  <c r="K245" i="4"/>
  <c r="M473" i="1"/>
  <c r="K321" i="2"/>
  <c r="J321" i="1"/>
  <c r="K321" i="1" s="1"/>
  <c r="N146" i="2"/>
  <c r="L144" i="2"/>
  <c r="L146" i="1"/>
  <c r="N146" i="1" s="1"/>
  <c r="L89" i="17"/>
  <c r="N89" i="17" s="1"/>
  <c r="N91" i="17"/>
  <c r="K325" i="13"/>
  <c r="N278" i="11"/>
  <c r="L275" i="11"/>
  <c r="N275" i="11" s="1"/>
  <c r="K149" i="10"/>
  <c r="I144" i="10"/>
  <c r="K144" i="10" s="1"/>
  <c r="N475" i="6"/>
  <c r="L473" i="6"/>
  <c r="N473" i="6" s="1"/>
  <c r="L475" i="1"/>
  <c r="N475" i="1" s="1"/>
  <c r="J311" i="6"/>
  <c r="N187" i="6"/>
  <c r="L185" i="6"/>
  <c r="N185" i="6" s="1"/>
  <c r="N332" i="5"/>
  <c r="L330" i="5"/>
  <c r="N330" i="5" s="1"/>
  <c r="K390" i="1"/>
  <c r="L350" i="2"/>
  <c r="N352" i="2"/>
  <c r="L352" i="1"/>
  <c r="N352" i="1" s="1"/>
  <c r="L101" i="2"/>
  <c r="N103" i="2"/>
  <c r="L103" i="1"/>
  <c r="N103" i="1" s="1"/>
  <c r="I32" i="1"/>
  <c r="K32" i="1" s="1"/>
  <c r="K32" i="2"/>
  <c r="M242" i="3"/>
  <c r="L169" i="21"/>
  <c r="N169" i="21" s="1"/>
  <c r="N171" i="21"/>
  <c r="L457" i="19"/>
  <c r="N457" i="19" s="1"/>
  <c r="N459" i="19"/>
  <c r="L89" i="21"/>
  <c r="N89" i="21" s="1"/>
  <c r="N91" i="21"/>
  <c r="L169" i="19"/>
  <c r="N169" i="19" s="1"/>
  <c r="N171" i="19"/>
  <c r="L52" i="18"/>
  <c r="N54" i="18"/>
  <c r="L114" i="21"/>
  <c r="N114" i="21" s="1"/>
  <c r="N116" i="21"/>
  <c r="K262" i="20"/>
  <c r="I244" i="20"/>
  <c r="K244" i="20" s="1"/>
  <c r="L101" i="19"/>
  <c r="N101" i="19" s="1"/>
  <c r="N103" i="19"/>
  <c r="L52" i="19"/>
  <c r="N52" i="19" s="1"/>
  <c r="N54" i="19"/>
  <c r="L52" i="21"/>
  <c r="N54" i="21"/>
  <c r="L275" i="20"/>
  <c r="N275" i="20" s="1"/>
  <c r="N278" i="20"/>
  <c r="I244" i="18"/>
  <c r="K244" i="18" s="1"/>
  <c r="K262" i="18"/>
  <c r="I244" i="21"/>
  <c r="K244" i="21" s="1"/>
  <c r="K262" i="21"/>
  <c r="N230" i="20"/>
  <c r="L228" i="20"/>
  <c r="N228" i="20" s="1"/>
  <c r="N146" i="18"/>
  <c r="L144" i="18"/>
  <c r="N144" i="18" s="1"/>
  <c r="I244" i="16"/>
  <c r="K244" i="16" s="1"/>
  <c r="K262" i="16"/>
  <c r="L350" i="15"/>
  <c r="N350" i="15" s="1"/>
  <c r="N352" i="15"/>
  <c r="I144" i="15"/>
  <c r="K144" i="15" s="1"/>
  <c r="K149" i="15"/>
  <c r="L52" i="15"/>
  <c r="N54" i="15"/>
  <c r="K344" i="14"/>
  <c r="I330" i="14"/>
  <c r="K330" i="14" s="1"/>
  <c r="L330" i="17"/>
  <c r="N332" i="17"/>
  <c r="L169" i="17"/>
  <c r="N169" i="17" s="1"/>
  <c r="N171" i="17"/>
  <c r="N278" i="16"/>
  <c r="L275" i="16"/>
  <c r="N275" i="16" s="1"/>
  <c r="L473" i="17"/>
  <c r="N473" i="17" s="1"/>
  <c r="N475" i="17"/>
  <c r="L52" i="16"/>
  <c r="N54" i="16"/>
  <c r="L457" i="13"/>
  <c r="N457" i="13" s="1"/>
  <c r="N459" i="13"/>
  <c r="L169" i="13"/>
  <c r="N169" i="13" s="1"/>
  <c r="N171" i="13"/>
  <c r="L89" i="13"/>
  <c r="N89" i="13" s="1"/>
  <c r="N91" i="13"/>
  <c r="L350" i="12"/>
  <c r="N350" i="12" s="1"/>
  <c r="N352" i="12"/>
  <c r="I144" i="12"/>
  <c r="K144" i="12" s="1"/>
  <c r="K149" i="12"/>
  <c r="L52" i="12"/>
  <c r="N52" i="12" s="1"/>
  <c r="N54" i="12"/>
  <c r="I330" i="11"/>
  <c r="K330" i="11" s="1"/>
  <c r="K344" i="11"/>
  <c r="L114" i="11"/>
  <c r="N114" i="11" s="1"/>
  <c r="N116" i="11"/>
  <c r="I144" i="17"/>
  <c r="K144" i="17" s="1"/>
  <c r="K149" i="17"/>
  <c r="L444" i="16"/>
  <c r="N444" i="16" s="1"/>
  <c r="N446" i="16"/>
  <c r="N247" i="14"/>
  <c r="L244" i="14"/>
  <c r="N146" i="15"/>
  <c r="L144" i="15"/>
  <c r="N144" i="15" s="1"/>
  <c r="K149" i="14"/>
  <c r="I144" i="14"/>
  <c r="K144" i="14" s="1"/>
  <c r="L114" i="14"/>
  <c r="N114" i="14" s="1"/>
  <c r="N116" i="14"/>
  <c r="K321" i="12"/>
  <c r="N146" i="13"/>
  <c r="L144" i="13"/>
  <c r="N144" i="13" s="1"/>
  <c r="I9" i="11"/>
  <c r="K9" i="11" s="1"/>
  <c r="K20" i="11"/>
  <c r="L444" i="9"/>
  <c r="N444" i="9" s="1"/>
  <c r="N446" i="9"/>
  <c r="L114" i="9"/>
  <c r="N114" i="9" s="1"/>
  <c r="N116" i="9"/>
  <c r="L169" i="8"/>
  <c r="N169" i="8" s="1"/>
  <c r="N171" i="8"/>
  <c r="K149" i="7"/>
  <c r="I144" i="7"/>
  <c r="K144" i="7" s="1"/>
  <c r="L89" i="7"/>
  <c r="N89" i="7" s="1"/>
  <c r="N91" i="7"/>
  <c r="L350" i="6"/>
  <c r="N350" i="6" s="1"/>
  <c r="N352" i="6"/>
  <c r="K265" i="2"/>
  <c r="I265" i="1"/>
  <c r="K265" i="1" s="1"/>
  <c r="N428" i="12"/>
  <c r="L426" i="12"/>
  <c r="N426" i="12" s="1"/>
  <c r="N216" i="10"/>
  <c r="L214" i="10"/>
  <c r="N214" i="10" s="1"/>
  <c r="L52" i="10"/>
  <c r="N54" i="10"/>
  <c r="I330" i="9"/>
  <c r="K330" i="9" s="1"/>
  <c r="K344" i="9"/>
  <c r="N216" i="9"/>
  <c r="L214" i="9"/>
  <c r="N214" i="9" s="1"/>
  <c r="K316" i="8"/>
  <c r="N201" i="7"/>
  <c r="L199" i="7"/>
  <c r="N199" i="7" s="1"/>
  <c r="L74" i="6"/>
  <c r="N74" i="6" s="1"/>
  <c r="N76" i="6"/>
  <c r="L74" i="5"/>
  <c r="L76" i="1"/>
  <c r="N76" i="1" s="1"/>
  <c r="N76" i="5"/>
  <c r="K457" i="4"/>
  <c r="I457" i="1"/>
  <c r="K457" i="1" s="1"/>
  <c r="L185" i="16"/>
  <c r="N185" i="16" s="1"/>
  <c r="N187" i="16"/>
  <c r="L114" i="16"/>
  <c r="N114" i="16" s="1"/>
  <c r="N116" i="16"/>
  <c r="I144" i="9"/>
  <c r="K144" i="9" s="1"/>
  <c r="K149" i="9"/>
  <c r="L89" i="9"/>
  <c r="N89" i="9" s="1"/>
  <c r="N91" i="9"/>
  <c r="L330" i="8"/>
  <c r="N332" i="8"/>
  <c r="N74" i="7"/>
  <c r="M74" i="1"/>
  <c r="L52" i="4"/>
  <c r="N54" i="4"/>
  <c r="I330" i="3"/>
  <c r="K330" i="3" s="1"/>
  <c r="K344" i="3"/>
  <c r="I244" i="3"/>
  <c r="K244" i="3" s="1"/>
  <c r="K262" i="3"/>
  <c r="I330" i="2"/>
  <c r="K344" i="2"/>
  <c r="I344" i="1"/>
  <c r="K344" i="1" s="1"/>
  <c r="K228" i="2"/>
  <c r="I228" i="1"/>
  <c r="I68" i="2"/>
  <c r="L473" i="14"/>
  <c r="N473" i="14" s="1"/>
  <c r="N475" i="14"/>
  <c r="N73" i="14"/>
  <c r="L71" i="14"/>
  <c r="N131" i="12"/>
  <c r="L129" i="12"/>
  <c r="N129" i="12" s="1"/>
  <c r="L131" i="1"/>
  <c r="N131" i="1" s="1"/>
  <c r="K444" i="10"/>
  <c r="I444" i="1"/>
  <c r="K444" i="1" s="1"/>
  <c r="N201" i="8"/>
  <c r="L199" i="8"/>
  <c r="N199" i="8" s="1"/>
  <c r="L169" i="7"/>
  <c r="N169" i="7" s="1"/>
  <c r="N171" i="7"/>
  <c r="L457" i="6"/>
  <c r="N457" i="6" s="1"/>
  <c r="N459" i="6"/>
  <c r="L185" i="5"/>
  <c r="N185" i="5" s="1"/>
  <c r="N187" i="5"/>
  <c r="L187" i="1"/>
  <c r="N187" i="1" s="1"/>
  <c r="N247" i="4"/>
  <c r="L244" i="4"/>
  <c r="L247" i="1"/>
  <c r="N247" i="1" s="1"/>
  <c r="L101" i="3"/>
  <c r="N101" i="3" s="1"/>
  <c r="N103" i="3"/>
  <c r="N73" i="3"/>
  <c r="L71" i="3"/>
  <c r="L73" i="1"/>
  <c r="N73" i="1" s="1"/>
  <c r="M350" i="2"/>
  <c r="M350" i="1" s="1"/>
  <c r="M352" i="1"/>
  <c r="I297" i="1"/>
  <c r="L114" i="2"/>
  <c r="L116" i="1"/>
  <c r="N116" i="1" s="1"/>
  <c r="N116" i="2"/>
  <c r="N354" i="1"/>
  <c r="N91" i="6"/>
  <c r="L89" i="6"/>
  <c r="N89" i="6" s="1"/>
  <c r="N278" i="5"/>
  <c r="L275" i="5"/>
  <c r="N275" i="5" s="1"/>
  <c r="N459" i="4"/>
  <c r="L457" i="4"/>
  <c r="N457" i="4" s="1"/>
  <c r="K296" i="4"/>
  <c r="I296" i="1"/>
  <c r="K296" i="1" s="1"/>
  <c r="L89" i="4"/>
  <c r="N89" i="4" s="1"/>
  <c r="N91" i="4"/>
  <c r="L330" i="3"/>
  <c r="N332" i="3"/>
  <c r="L330" i="2"/>
  <c r="L332" i="1"/>
  <c r="N332" i="1" s="1"/>
  <c r="N332" i="2"/>
  <c r="J316" i="1"/>
  <c r="K316" i="1" s="1"/>
  <c r="N216" i="2"/>
  <c r="L214" i="2"/>
  <c r="L216" i="1"/>
  <c r="N216" i="1" s="1"/>
  <c r="N129" i="2"/>
  <c r="L296" i="16"/>
  <c r="N296" i="16" s="1"/>
  <c r="N299" i="16"/>
  <c r="N492" i="13"/>
  <c r="L490" i="13"/>
  <c r="N490" i="13" s="1"/>
  <c r="L350" i="9"/>
  <c r="N350" i="9" s="1"/>
  <c r="N352" i="9"/>
  <c r="I244" i="5"/>
  <c r="K244" i="5" s="1"/>
  <c r="K262" i="5"/>
  <c r="L228" i="5"/>
  <c r="N228" i="5" s="1"/>
  <c r="N230" i="5"/>
  <c r="L230" i="1"/>
  <c r="N230" i="1" s="1"/>
  <c r="L490" i="4"/>
  <c r="N492" i="4"/>
  <c r="L444" i="3"/>
  <c r="N444" i="3" s="1"/>
  <c r="N446" i="3"/>
  <c r="L114" i="3"/>
  <c r="N114" i="3" s="1"/>
  <c r="N116" i="3"/>
  <c r="K518" i="1"/>
  <c r="K516" i="1"/>
  <c r="K514" i="1"/>
  <c r="K515" i="1"/>
  <c r="K517" i="1"/>
  <c r="K519" i="1"/>
  <c r="K513" i="1"/>
  <c r="M129" i="1"/>
  <c r="M242" i="4"/>
  <c r="M244" i="1"/>
  <c r="L350" i="22"/>
  <c r="N350" i="22" s="1"/>
  <c r="N352" i="22"/>
  <c r="L473" i="22"/>
  <c r="N473" i="22" s="1"/>
  <c r="N475" i="22"/>
  <c r="L89" i="22"/>
  <c r="N89" i="22" s="1"/>
  <c r="N91" i="22"/>
  <c r="L350" i="21"/>
  <c r="N350" i="21" s="1"/>
  <c r="N352" i="21"/>
  <c r="N73" i="22"/>
  <c r="L71" i="22"/>
  <c r="I9" i="22"/>
  <c r="K9" i="22" s="1"/>
  <c r="K20" i="22"/>
  <c r="L457" i="18"/>
  <c r="N457" i="18" s="1"/>
  <c r="N459" i="18"/>
  <c r="L330" i="19"/>
  <c r="N332" i="19"/>
  <c r="K275" i="20"/>
  <c r="I275" i="1"/>
  <c r="K275" i="1" s="1"/>
  <c r="I330" i="21"/>
  <c r="K330" i="21" s="1"/>
  <c r="K344" i="21"/>
  <c r="J311" i="19"/>
  <c r="J297" i="19" s="1"/>
  <c r="K297" i="19" s="1"/>
  <c r="L330" i="18"/>
  <c r="N332" i="18"/>
  <c r="L169" i="18"/>
  <c r="N169" i="18" s="1"/>
  <c r="N171" i="18"/>
  <c r="L350" i="18"/>
  <c r="N350" i="18" s="1"/>
  <c r="N352" i="18"/>
  <c r="I244" i="17"/>
  <c r="K244" i="17" s="1"/>
  <c r="K262" i="17"/>
  <c r="L101" i="16"/>
  <c r="N101" i="16" s="1"/>
  <c r="N103" i="16"/>
  <c r="I330" i="15"/>
  <c r="K330" i="15" s="1"/>
  <c r="K344" i="15"/>
  <c r="L114" i="15"/>
  <c r="N114" i="15" s="1"/>
  <c r="N116" i="15"/>
  <c r="L330" i="14"/>
  <c r="N330" i="14" s="1"/>
  <c r="N332" i="14"/>
  <c r="I68" i="18"/>
  <c r="K68" i="18" s="1"/>
  <c r="K129" i="18"/>
  <c r="L350" i="19"/>
  <c r="N350" i="19" s="1"/>
  <c r="N352" i="19"/>
  <c r="J311" i="18"/>
  <c r="J297" i="18" s="1"/>
  <c r="K297" i="18" s="1"/>
  <c r="K312" i="18"/>
  <c r="L473" i="15"/>
  <c r="N473" i="15" s="1"/>
  <c r="N475" i="15"/>
  <c r="L350" i="13"/>
  <c r="N350" i="13" s="1"/>
  <c r="N352" i="13"/>
  <c r="I144" i="13"/>
  <c r="K144" i="13" s="1"/>
  <c r="K149" i="13"/>
  <c r="L52" i="13"/>
  <c r="N54" i="13"/>
  <c r="I330" i="12"/>
  <c r="K330" i="12" s="1"/>
  <c r="K344" i="12"/>
  <c r="L114" i="12"/>
  <c r="N114" i="12" s="1"/>
  <c r="N116" i="12"/>
  <c r="L330" i="11"/>
  <c r="N330" i="11" s="1"/>
  <c r="N332" i="11"/>
  <c r="L101" i="11"/>
  <c r="N101" i="11" s="1"/>
  <c r="N103" i="11"/>
  <c r="L457" i="10"/>
  <c r="N457" i="10" s="1"/>
  <c r="N459" i="10"/>
  <c r="K312" i="15"/>
  <c r="L52" i="14"/>
  <c r="N52" i="14" s="1"/>
  <c r="N54" i="14"/>
  <c r="I330" i="17"/>
  <c r="K330" i="17" s="1"/>
  <c r="K344" i="17"/>
  <c r="N428" i="14"/>
  <c r="L426" i="14"/>
  <c r="N426" i="14" s="1"/>
  <c r="I9" i="14"/>
  <c r="K9" i="14" s="1"/>
  <c r="K20" i="14"/>
  <c r="K473" i="10"/>
  <c r="I473" i="1"/>
  <c r="K473" i="1" s="1"/>
  <c r="L350" i="10"/>
  <c r="N350" i="10" s="1"/>
  <c r="N352" i="10"/>
  <c r="K325" i="15"/>
  <c r="N201" i="11"/>
  <c r="L199" i="11"/>
  <c r="N199" i="11" s="1"/>
  <c r="I330" i="8"/>
  <c r="K330" i="8" s="1"/>
  <c r="K344" i="8"/>
  <c r="I244" i="19"/>
  <c r="K244" i="19" s="1"/>
  <c r="K262" i="19"/>
  <c r="N9" i="14"/>
  <c r="L9" i="1"/>
  <c r="N9" i="1" s="1"/>
  <c r="J350" i="12"/>
  <c r="K350" i="12" s="1"/>
  <c r="K359" i="12"/>
  <c r="N187" i="12"/>
  <c r="L185" i="12"/>
  <c r="N185" i="12" s="1"/>
  <c r="L473" i="10"/>
  <c r="N473" i="10" s="1"/>
  <c r="N475" i="10"/>
  <c r="L114" i="10"/>
  <c r="N114" i="10" s="1"/>
  <c r="N116" i="10"/>
  <c r="L169" i="9"/>
  <c r="N169" i="9" s="1"/>
  <c r="N171" i="9"/>
  <c r="L457" i="8"/>
  <c r="N457" i="8" s="1"/>
  <c r="N459" i="8"/>
  <c r="L101" i="8"/>
  <c r="N101" i="8" s="1"/>
  <c r="N103" i="8"/>
  <c r="L350" i="7"/>
  <c r="N350" i="7" s="1"/>
  <c r="N352" i="7"/>
  <c r="J245" i="1"/>
  <c r="L444" i="5"/>
  <c r="N444" i="5" s="1"/>
  <c r="N446" i="5"/>
  <c r="L444" i="4"/>
  <c r="N444" i="4" s="1"/>
  <c r="N446" i="4"/>
  <c r="N299" i="15"/>
  <c r="L296" i="15"/>
  <c r="N296" i="15" s="1"/>
  <c r="N187" i="14"/>
  <c r="L185" i="14"/>
  <c r="N185" i="14" s="1"/>
  <c r="L473" i="12"/>
  <c r="N473" i="12" s="1"/>
  <c r="N475" i="12"/>
  <c r="L169" i="10"/>
  <c r="N169" i="10" s="1"/>
  <c r="N171" i="10"/>
  <c r="L444" i="7"/>
  <c r="N444" i="7" s="1"/>
  <c r="N446" i="7"/>
  <c r="L52" i="7"/>
  <c r="N54" i="7"/>
  <c r="L330" i="6"/>
  <c r="N330" i="6" s="1"/>
  <c r="N332" i="6"/>
  <c r="M242" i="7"/>
  <c r="N116" i="6"/>
  <c r="L114" i="6"/>
  <c r="N114" i="6" s="1"/>
  <c r="N216" i="5"/>
  <c r="L214" i="5"/>
  <c r="N214" i="5" s="1"/>
  <c r="N116" i="5"/>
  <c r="L114" i="5"/>
  <c r="N114" i="5" s="1"/>
  <c r="K262" i="4"/>
  <c r="I244" i="4"/>
  <c r="K244" i="4" s="1"/>
  <c r="L114" i="4"/>
  <c r="N114" i="4" s="1"/>
  <c r="N116" i="4"/>
  <c r="L169" i="3"/>
  <c r="N169" i="3" s="1"/>
  <c r="N171" i="3"/>
  <c r="I311" i="1"/>
  <c r="L101" i="14"/>
  <c r="N101" i="14" s="1"/>
  <c r="N103" i="14"/>
  <c r="K101" i="11"/>
  <c r="I101" i="1"/>
  <c r="K101" i="1" s="1"/>
  <c r="N146" i="10"/>
  <c r="L144" i="10"/>
  <c r="N144" i="10" s="1"/>
  <c r="L71" i="6"/>
  <c r="N73" i="6"/>
  <c r="N171" i="5"/>
  <c r="L169" i="5"/>
  <c r="N169" i="5" s="1"/>
  <c r="L71" i="5"/>
  <c r="N73" i="5"/>
  <c r="I144" i="3"/>
  <c r="K144" i="3" s="1"/>
  <c r="K149" i="3"/>
  <c r="J390" i="2"/>
  <c r="J390" i="1" s="1"/>
  <c r="J391" i="1"/>
  <c r="K391" i="1" s="1"/>
  <c r="K504" i="1"/>
  <c r="K509" i="1"/>
  <c r="K511" i="1"/>
  <c r="K505" i="1"/>
  <c r="K507" i="1"/>
  <c r="N247" i="12"/>
  <c r="L244" i="12"/>
  <c r="I68" i="10"/>
  <c r="K68" i="10" s="1"/>
  <c r="L330" i="9"/>
  <c r="N332" i="9"/>
  <c r="L426" i="5"/>
  <c r="N426" i="5" s="1"/>
  <c r="N428" i="5"/>
  <c r="K33" i="5"/>
  <c r="I33" i="1"/>
  <c r="K33" i="1" s="1"/>
  <c r="N32" i="5"/>
  <c r="M459" i="1"/>
  <c r="L169" i="2"/>
  <c r="N171" i="2"/>
  <c r="L171" i="1"/>
  <c r="N171" i="1" s="1"/>
  <c r="I52" i="1"/>
  <c r="K52" i="1" s="1"/>
  <c r="K52" i="2"/>
  <c r="K508" i="1"/>
  <c r="J350" i="14"/>
  <c r="K350" i="14" s="1"/>
  <c r="K359" i="14"/>
  <c r="N201" i="13"/>
  <c r="L199" i="13"/>
  <c r="N199" i="13" s="1"/>
  <c r="L89" i="10"/>
  <c r="N89" i="10" s="1"/>
  <c r="N91" i="10"/>
  <c r="I9" i="7"/>
  <c r="K9" i="7" s="1"/>
  <c r="K20" i="7"/>
  <c r="J376" i="1"/>
  <c r="J359" i="6"/>
  <c r="K276" i="6"/>
  <c r="I276" i="1"/>
  <c r="K276" i="1" s="1"/>
  <c r="L490" i="5"/>
  <c r="N490" i="5" s="1"/>
  <c r="N492" i="5"/>
  <c r="I426" i="1"/>
  <c r="K426" i="1" s="1"/>
  <c r="I377" i="1"/>
  <c r="K377" i="1" s="1"/>
  <c r="K377" i="2"/>
  <c r="K149" i="2"/>
  <c r="I149" i="1"/>
  <c r="K149" i="1" s="1"/>
  <c r="I144" i="2"/>
  <c r="L89" i="2"/>
  <c r="N91" i="2"/>
  <c r="L91" i="1"/>
  <c r="N91" i="1" s="1"/>
  <c r="K510" i="1"/>
  <c r="N71" i="12" l="1"/>
  <c r="K228" i="1"/>
  <c r="K311" i="3"/>
  <c r="K311" i="22"/>
  <c r="K311" i="10"/>
  <c r="K311" i="11"/>
  <c r="K311" i="12"/>
  <c r="K325" i="1"/>
  <c r="K311" i="21"/>
  <c r="N71" i="9"/>
  <c r="L68" i="9"/>
  <c r="N68" i="9" s="1"/>
  <c r="K311" i="17"/>
  <c r="L68" i="19"/>
  <c r="N68" i="19" s="1"/>
  <c r="K311" i="8"/>
  <c r="K311" i="15"/>
  <c r="N71" i="4"/>
  <c r="L68" i="4"/>
  <c r="N68" i="4" s="1"/>
  <c r="I10" i="1"/>
  <c r="K10" i="1" s="1"/>
  <c r="K311" i="13"/>
  <c r="K311" i="9"/>
  <c r="N71" i="2"/>
  <c r="L68" i="2"/>
  <c r="N68" i="2" s="1"/>
  <c r="J297" i="7"/>
  <c r="K297" i="7" s="1"/>
  <c r="K311" i="7"/>
  <c r="K311" i="5"/>
  <c r="J297" i="5"/>
  <c r="K297" i="5" s="1"/>
  <c r="N71" i="11"/>
  <c r="L68" i="11"/>
  <c r="N68" i="11" s="1"/>
  <c r="L185" i="1"/>
  <c r="N185" i="1" s="1"/>
  <c r="L242" i="6"/>
  <c r="N242" i="6" s="1"/>
  <c r="N71" i="13"/>
  <c r="L68" i="13"/>
  <c r="N68" i="13" s="1"/>
  <c r="N71" i="20"/>
  <c r="L68" i="20"/>
  <c r="N68" i="20" s="1"/>
  <c r="L68" i="15"/>
  <c r="N68" i="15" s="1"/>
  <c r="N71" i="15"/>
  <c r="K359" i="6"/>
  <c r="J350" i="6"/>
  <c r="J359" i="1"/>
  <c r="K359" i="1" s="1"/>
  <c r="N52" i="7"/>
  <c r="N52" i="13"/>
  <c r="N330" i="18"/>
  <c r="L242" i="18"/>
  <c r="N242" i="18" s="1"/>
  <c r="N114" i="2"/>
  <c r="L114" i="1"/>
  <c r="N114" i="1" s="1"/>
  <c r="L101" i="1"/>
  <c r="N101" i="1" s="1"/>
  <c r="N101" i="2"/>
  <c r="N144" i="2"/>
  <c r="L144" i="1"/>
  <c r="N144" i="1" s="1"/>
  <c r="L6" i="12"/>
  <c r="N6" i="12" s="1"/>
  <c r="N52" i="17"/>
  <c r="N71" i="22"/>
  <c r="L68" i="22"/>
  <c r="N68" i="22" s="1"/>
  <c r="N71" i="3"/>
  <c r="L68" i="3"/>
  <c r="L6" i="3" s="1"/>
  <c r="N6" i="3" s="1"/>
  <c r="L71" i="1"/>
  <c r="N71" i="1" s="1"/>
  <c r="N52" i="18"/>
  <c r="K245" i="1"/>
  <c r="N490" i="4"/>
  <c r="L490" i="1"/>
  <c r="N490" i="1" s="1"/>
  <c r="N214" i="2"/>
  <c r="L214" i="1"/>
  <c r="N214" i="1" s="1"/>
  <c r="N52" i="3"/>
  <c r="I330" i="1"/>
  <c r="K330" i="1" s="1"/>
  <c r="K330" i="2"/>
  <c r="N71" i="10"/>
  <c r="L68" i="10"/>
  <c r="N68" i="10" s="1"/>
  <c r="N52" i="11"/>
  <c r="L426" i="1"/>
  <c r="N426" i="1" s="1"/>
  <c r="N74" i="5"/>
  <c r="L74" i="1"/>
  <c r="N74" i="1" s="1"/>
  <c r="N52" i="8"/>
  <c r="N52" i="9"/>
  <c r="L89" i="1"/>
  <c r="N89" i="1" s="1"/>
  <c r="N89" i="2"/>
  <c r="L242" i="12"/>
  <c r="N242" i="12" s="1"/>
  <c r="N244" i="12"/>
  <c r="L68" i="5"/>
  <c r="N68" i="5" s="1"/>
  <c r="N71" i="5"/>
  <c r="L68" i="6"/>
  <c r="N68" i="6" s="1"/>
  <c r="N71" i="6"/>
  <c r="N52" i="10"/>
  <c r="J297" i="6"/>
  <c r="K297" i="6" s="1"/>
  <c r="K311" i="6"/>
  <c r="K311" i="19"/>
  <c r="K244" i="2"/>
  <c r="I244" i="1"/>
  <c r="K244" i="1" s="1"/>
  <c r="N459" i="1"/>
  <c r="N52" i="5"/>
  <c r="N52" i="6"/>
  <c r="N244" i="10"/>
  <c r="L242" i="10"/>
  <c r="N242" i="10" s="1"/>
  <c r="L242" i="15"/>
  <c r="N242" i="15" s="1"/>
  <c r="L444" i="1"/>
  <c r="N444" i="1" s="1"/>
  <c r="N444" i="2"/>
  <c r="N52" i="20"/>
  <c r="J297" i="16"/>
  <c r="K297" i="16" s="1"/>
  <c r="K311" i="16"/>
  <c r="K311" i="18"/>
  <c r="N244" i="20"/>
  <c r="L242" i="20"/>
  <c r="N242" i="20" s="1"/>
  <c r="K144" i="2"/>
  <c r="I144" i="1"/>
  <c r="K144" i="1" s="1"/>
  <c r="L129" i="1"/>
  <c r="N129" i="1" s="1"/>
  <c r="N330" i="2"/>
  <c r="L330" i="1"/>
  <c r="L242" i="2"/>
  <c r="N330" i="3"/>
  <c r="L242" i="3"/>
  <c r="N242" i="3" s="1"/>
  <c r="N244" i="14"/>
  <c r="L242" i="14"/>
  <c r="N242" i="14" s="1"/>
  <c r="N52" i="16"/>
  <c r="N330" i="17"/>
  <c r="L242" i="17"/>
  <c r="N242" i="17" s="1"/>
  <c r="N52" i="15"/>
  <c r="N52" i="21"/>
  <c r="L242" i="22"/>
  <c r="N242" i="22" s="1"/>
  <c r="L228" i="1"/>
  <c r="N228" i="1" s="1"/>
  <c r="L242" i="11"/>
  <c r="N242" i="11" s="1"/>
  <c r="N52" i="2"/>
  <c r="L52" i="1"/>
  <c r="N52" i="1" s="1"/>
  <c r="K376" i="1"/>
  <c r="L242" i="13"/>
  <c r="N242" i="13" s="1"/>
  <c r="N71" i="16"/>
  <c r="L68" i="16"/>
  <c r="N68" i="16" s="1"/>
  <c r="N330" i="21"/>
  <c r="L242" i="21"/>
  <c r="N242" i="21" s="1"/>
  <c r="N244" i="5"/>
  <c r="L242" i="5"/>
  <c r="N242" i="5" s="1"/>
  <c r="N199" i="3"/>
  <c r="L199" i="1"/>
  <c r="N199" i="1" s="1"/>
  <c r="N71" i="8"/>
  <c r="L68" i="8"/>
  <c r="N68" i="8" s="1"/>
  <c r="L457" i="1"/>
  <c r="N457" i="1" s="1"/>
  <c r="N457" i="2"/>
  <c r="N71" i="7"/>
  <c r="L68" i="7"/>
  <c r="N68" i="7" s="1"/>
  <c r="N244" i="16"/>
  <c r="L242" i="16"/>
  <c r="N242" i="16" s="1"/>
  <c r="K311" i="20"/>
  <c r="J297" i="20"/>
  <c r="K297" i="20" s="1"/>
  <c r="L169" i="1"/>
  <c r="N169" i="1" s="1"/>
  <c r="N169" i="2"/>
  <c r="N330" i="9"/>
  <c r="L242" i="9"/>
  <c r="N242" i="9" s="1"/>
  <c r="N330" i="19"/>
  <c r="L242" i="19"/>
  <c r="N242" i="19" s="1"/>
  <c r="L473" i="1"/>
  <c r="N473" i="1" s="1"/>
  <c r="N244" i="4"/>
  <c r="L242" i="4"/>
  <c r="N242" i="4" s="1"/>
  <c r="L244" i="1"/>
  <c r="N244" i="1" s="1"/>
  <c r="N71" i="14"/>
  <c r="L68" i="14"/>
  <c r="K68" i="2"/>
  <c r="I68" i="1"/>
  <c r="K68" i="1" s="1"/>
  <c r="N52" i="4"/>
  <c r="N330" i="8"/>
  <c r="L242" i="8"/>
  <c r="N242" i="8" s="1"/>
  <c r="K311" i="14"/>
  <c r="L350" i="1"/>
  <c r="N350" i="1" s="1"/>
  <c r="N350" i="2"/>
  <c r="N296" i="4"/>
  <c r="L296" i="1"/>
  <c r="N296" i="1" s="1"/>
  <c r="J297" i="2"/>
  <c r="J311" i="1"/>
  <c r="K311" i="1" s="1"/>
  <c r="K9" i="3"/>
  <c r="I9" i="1"/>
  <c r="K9" i="1" s="1"/>
  <c r="M330" i="1"/>
  <c r="M242" i="2"/>
  <c r="M242" i="1" s="1"/>
  <c r="N330" i="7"/>
  <c r="L242" i="7"/>
  <c r="N242" i="7" s="1"/>
  <c r="N71" i="18"/>
  <c r="L68" i="18"/>
  <c r="N68" i="18" s="1"/>
  <c r="N71" i="21"/>
  <c r="L68" i="21"/>
  <c r="N68" i="21" s="1"/>
  <c r="N71" i="17"/>
  <c r="L68" i="17"/>
  <c r="N68" i="17" s="1"/>
  <c r="N275" i="4"/>
  <c r="L275" i="1"/>
  <c r="N275" i="1" s="1"/>
  <c r="J297" i="4"/>
  <c r="K297" i="4" s="1"/>
  <c r="K311" i="4"/>
  <c r="N52" i="22"/>
  <c r="L6" i="22" l="1"/>
  <c r="N6" i="22" s="1"/>
  <c r="L6" i="15"/>
  <c r="N6" i="15" s="1"/>
  <c r="L6" i="9"/>
  <c r="N6" i="9" s="1"/>
  <c r="L6" i="19"/>
  <c r="N6" i="19" s="1"/>
  <c r="L6" i="6"/>
  <c r="N6" i="6" s="1"/>
  <c r="L6" i="4"/>
  <c r="N6" i="4" s="1"/>
  <c r="L6" i="2"/>
  <c r="N6" i="2" s="1"/>
  <c r="L6" i="20"/>
  <c r="N6" i="20" s="1"/>
  <c r="L6" i="13"/>
  <c r="N6" i="13" s="1"/>
  <c r="L6" i="10"/>
  <c r="N6" i="10" s="1"/>
  <c r="L6" i="11"/>
  <c r="N6" i="11" s="1"/>
  <c r="J297" i="1"/>
  <c r="K297" i="1" s="1"/>
  <c r="K297" i="2"/>
  <c r="N68" i="14"/>
  <c r="L6" i="14"/>
  <c r="N6" i="14" s="1"/>
  <c r="N330" i="1"/>
  <c r="L6" i="5"/>
  <c r="N6" i="5" s="1"/>
  <c r="L6" i="8"/>
  <c r="N6" i="8" s="1"/>
  <c r="L6" i="16"/>
  <c r="N6" i="16" s="1"/>
  <c r="N68" i="3"/>
  <c r="L68" i="1"/>
  <c r="N68" i="1" s="1"/>
  <c r="L6" i="17"/>
  <c r="N6" i="17" s="1"/>
  <c r="K350" i="6"/>
  <c r="J350" i="1"/>
  <c r="K350" i="1" s="1"/>
  <c r="L6" i="21"/>
  <c r="N6" i="21" s="1"/>
  <c r="N242" i="2"/>
  <c r="L242" i="1"/>
  <c r="N242" i="1" s="1"/>
  <c r="L6" i="18"/>
  <c r="N6" i="18" s="1"/>
  <c r="L6" i="7"/>
  <c r="N6" i="7" s="1"/>
  <c r="L6" i="1" l="1"/>
  <c r="N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38" authorId="0" shapeId="0" xr:uid="{00000000-0006-0000-0300-000001000000}">
      <text>
        <r>
          <rPr>
            <sz val="11"/>
            <color theme="1"/>
            <rFont val="Arial"/>
          </rPr>
          <t>ผืนดิน</t>
        </r>
      </text>
    </comment>
    <comment ref="L139" authorId="0" shapeId="0" xr:uid="{00000000-0006-0000-0300-000002000000}">
      <text>
        <r>
          <rPr>
            <sz val="11"/>
            <color theme="1"/>
            <rFont val="Arial"/>
          </rPr>
          <t>พัชร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38" authorId="0" shapeId="0" xr:uid="{00000000-0006-0000-1100-000001000000}">
      <text>
        <r>
          <rPr>
            <sz val="11"/>
            <color theme="1"/>
            <rFont val="Arial"/>
          </rPr>
          <t>ที่ราบ</t>
        </r>
      </text>
    </comment>
    <comment ref="L139" authorId="0" shapeId="0" xr:uid="{00000000-0006-0000-1100-000002000000}">
      <text>
        <r>
          <rPr>
            <sz val="11"/>
            <color theme="1"/>
            <rFont val="Arial"/>
          </rPr>
          <t>พัชร</t>
        </r>
      </text>
    </comment>
  </commentList>
</comments>
</file>

<file path=xl/sharedStrings.xml><?xml version="1.0" encoding="utf-8"?>
<sst xmlns="http://schemas.openxmlformats.org/spreadsheetml/2006/main" count="22007" uniqueCount="248">
  <si>
    <t>รายละเอียดแผนงาน/โครงการ ผลผลิต/กิจกรรม ปีงบประมาณ พ.ศ. 2565</t>
  </si>
  <si>
    <t>ภาคกลาง</t>
  </si>
  <si>
    <t>ใส่ข้อมูลปริมาณ
 ตามหน่วย</t>
  </si>
  <si>
    <t>ใส่ข้อมูล</t>
  </si>
  <si>
    <t>แผนงาน/โครงการ/กิจกรรม</t>
  </si>
  <si>
    <t>หน่วย</t>
  </si>
  <si>
    <t>แผนงาน</t>
  </si>
  <si>
    <t>ผลงาน</t>
  </si>
  <si>
    <t>ร้อยละ</t>
  </si>
  <si>
    <t>งบประมาณ 
(บาท)</t>
  </si>
  <si>
    <t>ผลการเบิกจ่าย
(บาท)</t>
  </si>
  <si>
    <t>งบประมาณตาม พรบ.งบประมาณ 2565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</si>
  <si>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</si>
  <si>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</si>
  <si>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</si>
  <si>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</si>
  <si>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</si>
  <si>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◾</t>
  </si>
  <si>
    <t>งบประมาณ</t>
  </si>
  <si>
    <t xml:space="preserve"> - ส.ป.ก.ส่วนกลาง </t>
  </si>
  <si>
    <t>บาท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</si>
  <si>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</si>
  <si>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</si>
  <si>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</si>
  <si>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</si>
  <si>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</si>
  <si>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</si>
  <si>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</si>
  <si>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</si>
  <si>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</si>
  <si>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</si>
  <si>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</si>
  <si>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</si>
  <si>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</si>
  <si>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</si>
  <si>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</si>
  <si>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</si>
  <si>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</si>
  <si>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</si>
  <si>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</si>
  <si>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</si>
  <si>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</si>
  <si>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</si>
  <si>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</si>
  <si>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</si>
  <si>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</si>
  <si>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</si>
  <si>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</si>
  <si>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</si>
  <si>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</si>
  <si>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</si>
  <si>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</si>
  <si>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</si>
  <si>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</si>
  <si>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</si>
  <si>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</si>
  <si>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</si>
  <si>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</si>
  <si>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</si>
  <si>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</si>
  <si>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</si>
  <si>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</si>
  <si>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</si>
  <si>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</si>
  <si>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</si>
  <si>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</si>
  <si>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</si>
  <si>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</si>
  <si>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</si>
  <si>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</si>
  <si>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</si>
  <si>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</si>
  <si>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</si>
  <si>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</si>
  <si>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</si>
  <si>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</si>
  <si>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</si>
  <si>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</si>
  <si>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</si>
  <si>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</si>
  <si>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 - อบรมเกษตรกร (แผนพรบ. 800 แผนปฏิบัติการ 940)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</si>
  <si>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</si>
  <si>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</si>
  <si>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</si>
  <si>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</si>
  <si>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</si>
  <si>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</si>
  <si>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</si>
  <si>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</si>
  <si>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</si>
  <si>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</si>
  <si>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</si>
  <si>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</si>
  <si>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</si>
  <si>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</si>
  <si>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</si>
  <si>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</si>
  <si>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</si>
  <si>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</si>
  <si>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</si>
  <si>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</si>
  <si>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</si>
  <si>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</si>
  <si>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</si>
  <si>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</si>
  <si>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</si>
  <si>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</si>
  <si>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</si>
  <si>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</si>
  <si>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</si>
  <si>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</si>
  <si>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</si>
  <si>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</si>
  <si>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</si>
  <si>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</si>
  <si>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</si>
  <si>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</si>
  <si>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</si>
  <si>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</si>
  <si>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</si>
  <si>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</si>
  <si>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</si>
  <si>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</si>
  <si>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</si>
  <si>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</si>
  <si>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</si>
  <si>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</si>
  <si>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</si>
  <si>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</si>
  <si>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</si>
  <si>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</si>
  <si>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</si>
  <si>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</si>
  <si>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</si>
  <si>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</si>
  <si>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</si>
  <si>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</si>
  <si>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</si>
  <si>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</si>
  <si>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</si>
  <si>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</si>
  <si>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</si>
  <si>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</si>
  <si>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</si>
  <si>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</si>
  <si>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</si>
  <si>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</si>
  <si>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</si>
  <si>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</si>
  <si>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</si>
  <si>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</si>
  <si>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</si>
  <si>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</si>
  <si>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</si>
  <si>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</si>
  <si>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</si>
  <si>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</si>
  <si>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</si>
  <si>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</si>
  <si>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</si>
  <si>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</si>
  <si>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</si>
  <si>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</si>
  <si>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</si>
  <si>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</si>
  <si>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</si>
  <si>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</si>
  <si>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</si>
  <si>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</si>
  <si>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</si>
  <si>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</si>
  <si>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</si>
  <si>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</si>
  <si>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</si>
  <si>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</si>
  <si>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</si>
  <si>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</si>
  <si>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</si>
  <si>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</si>
  <si>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</si>
  <si>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</si>
  <si>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</si>
  <si>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</si>
  <si>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</si>
  <si>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</si>
  <si>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</si>
  <si>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</si>
  <si>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</si>
  <si>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</si>
  <si>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</si>
  <si>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</si>
  <si>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</si>
  <si>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</si>
  <si>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</si>
  <si>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</si>
  <si>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</si>
  <si>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</si>
  <si>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</si>
  <si>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</si>
  <si>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</si>
  <si>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</si>
  <si>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</si>
  <si>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</si>
  <si>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</si>
  <si>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</si>
  <si>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</si>
  <si>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</si>
  <si>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</si>
  <si>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</si>
  <si>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</si>
  <si>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</si>
  <si>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</si>
  <si>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</si>
  <si>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</si>
  <si>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</si>
  <si>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</si>
  <si>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</si>
  <si>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</si>
  <si>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</si>
  <si>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 ตำบลห้วยเขย่ง อำเภอทองผาภูมิ จังหวัดกาญจนบุรี</t>
  </si>
  <si>
    <t>สำนักงานการปฏิรูปที่ดินจังหวัด จันทบุรี</t>
  </si>
  <si>
    <t>(5) โครงการพัชรสุธาคชานุรักษ์</t>
  </si>
  <si>
    <t>สำนักงานการปฏิรูปที่ดินจังหวัด ฉะเชิงเทรา</t>
  </si>
  <si>
    <t>-</t>
  </si>
  <si>
    <t>(5) โครงการที่ดินพระราชทาน 40 ราย / โครงการพัชรสุธาคชานุรักษ์ 40 ราย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</si>
  <si>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</si>
  <si>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</si>
  <si>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</si>
  <si>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</si>
  <si>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</si>
  <si>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</si>
  <si>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</si>
  <si>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</si>
  <si>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</si>
  <si>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โครงการพัฒนาพื้นที่ราบเชิงเขาจังหวัดสระแก้ว – ปราจีนบุรี ตามพระราชดำริ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</si>
  <si>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</si>
  <si>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</si>
  <si>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</si>
  <si>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</si>
  <si>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</si>
  <si>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</si>
  <si>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>(5) โครงการพัฒนาพื้นที่ราบเชิงเขาจังหวัดสระแก้ว – ปราจีนบุรี 40 ราย / โครงการพัชรสุธาคชานุรักษ์ 20 ราย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</si>
  <si>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</si>
  <si>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</si>
  <si>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</si>
  <si>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</si>
  <si>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15 ธันวาคม 2564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</si>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</sst>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1" x14ac:knownFonts="1">
    <font>
      <sz val="11"/>
      <color theme="1"/>
      <name val="Arial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color rgb="FFCC4125"/>
      <name val="TH SarabunPSK"/>
      <family val="2"/>
    </font>
    <font>
      <sz val="16"/>
      <color rgb="FFC00000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sz val="16"/>
      <color rgb="FF666666"/>
      <name val="TH SarabunPSK"/>
      <family val="2"/>
    </font>
  </fonts>
  <fills count="24">
    <fill>
      <patternFill patternType="none"/>
    </fill>
    <fill>
      <patternFill patternType="gray125"/>
    </fill>
    <fill>
      <patternFill patternType="solid">
        <fgColor rgb="FFFCFAB0"/>
        <bgColor rgb="FFFCFAB0"/>
      </patternFill>
    </fill>
    <fill>
      <patternFill patternType="solid">
        <fgColor theme="0"/>
        <bgColor theme="0"/>
      </patternFill>
    </fill>
    <fill>
      <patternFill patternType="solid">
        <fgColor rgb="FFFAE6F6"/>
        <bgColor rgb="FFFAE6F6"/>
      </patternFill>
    </fill>
    <fill>
      <patternFill patternType="solid">
        <fgColor rgb="FF548135"/>
        <bgColor rgb="FF548135"/>
      </patternFill>
    </fill>
    <fill>
      <patternFill patternType="solid">
        <fgColor rgb="FFFFE598"/>
        <bgColor rgb="FFFFE598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9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>
      <alignment horizontal="center" vertical="center"/>
    </xf>
    <xf numFmtId="187" fontId="2" fillId="2" borderId="1" xfId="0" applyNumberFormat="1" applyFont="1" applyFill="1" applyBorder="1" applyAlignment="1">
      <alignment horizontal="center" vertical="center" wrapText="1"/>
    </xf>
    <xf numFmtId="188" fontId="2" fillId="3" borderId="2" xfId="0" applyNumberFormat="1" applyFont="1" applyFill="1" applyBorder="1" applyAlignment="1">
      <alignment vertical="center" wrapText="1"/>
    </xf>
    <xf numFmtId="187" fontId="2" fillId="3" borderId="3" xfId="0" applyNumberFormat="1" applyFont="1" applyFill="1" applyBorder="1" applyAlignment="1">
      <alignment vertical="center" wrapText="1"/>
    </xf>
    <xf numFmtId="187" fontId="2" fillId="4" borderId="1" xfId="0" applyNumberFormat="1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/>
    </xf>
    <xf numFmtId="188" fontId="1" fillId="6" borderId="1" xfId="0" applyNumberFormat="1" applyFont="1" applyFill="1" applyBorder="1" applyAlignment="1">
      <alignment horizontal="center" vertical="center"/>
    </xf>
    <xf numFmtId="187" fontId="1" fillId="2" borderId="1" xfId="0" applyNumberFormat="1" applyFont="1" applyFill="1" applyBorder="1" applyAlignment="1">
      <alignment horizontal="center" vertical="center" wrapText="1"/>
    </xf>
    <xf numFmtId="188" fontId="1" fillId="6" borderId="8" xfId="0" applyNumberFormat="1" applyFont="1" applyFill="1" applyBorder="1" applyAlignment="1">
      <alignment horizontal="center" vertical="center"/>
    </xf>
    <xf numFmtId="188" fontId="1" fillId="7" borderId="9" xfId="0" applyNumberFormat="1" applyFont="1" applyFill="1" applyBorder="1" applyAlignment="1">
      <alignment horizontal="center" vertical="center" wrapText="1"/>
    </xf>
    <xf numFmtId="188" fontId="1" fillId="4" borderId="10" xfId="0" applyNumberFormat="1" applyFont="1" applyFill="1" applyBorder="1" applyAlignment="1">
      <alignment horizontal="center" vertical="center"/>
    </xf>
    <xf numFmtId="188" fontId="1" fillId="7" borderId="11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vertical="center"/>
    </xf>
    <xf numFmtId="189" fontId="1" fillId="8" borderId="12" xfId="0" applyNumberFormat="1" applyFont="1" applyFill="1" applyBorder="1" applyAlignment="1">
      <alignment vertical="center"/>
    </xf>
    <xf numFmtId="188" fontId="1" fillId="8" borderId="12" xfId="0" applyNumberFormat="1" applyFont="1" applyFill="1" applyBorder="1" applyAlignment="1">
      <alignment vertical="center"/>
    </xf>
    <xf numFmtId="188" fontId="1" fillId="8" borderId="13" xfId="0" applyNumberFormat="1" applyFont="1" applyFill="1" applyBorder="1" applyAlignment="1">
      <alignment horizontal="right" vertical="center" wrapText="1"/>
    </xf>
    <xf numFmtId="187" fontId="1" fillId="9" borderId="14" xfId="0" applyNumberFormat="1" applyFont="1" applyFill="1" applyBorder="1" applyAlignment="1">
      <alignment vertical="center"/>
    </xf>
    <xf numFmtId="187" fontId="1" fillId="9" borderId="15" xfId="0" applyNumberFormat="1" applyFont="1" applyFill="1" applyBorder="1" applyAlignment="1">
      <alignment vertical="center"/>
    </xf>
    <xf numFmtId="0" fontId="2" fillId="9" borderId="16" xfId="0" applyFont="1" applyFill="1" applyBorder="1" applyAlignment="1">
      <alignment vertical="center"/>
    </xf>
    <xf numFmtId="0" fontId="2" fillId="9" borderId="12" xfId="0" applyFont="1" applyFill="1" applyBorder="1" applyAlignment="1">
      <alignment horizontal="left" vertical="center"/>
    </xf>
    <xf numFmtId="189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vertical="center"/>
    </xf>
    <xf numFmtId="187" fontId="1" fillId="10" borderId="14" xfId="0" applyNumberFormat="1" applyFont="1" applyFill="1" applyBorder="1" applyAlignment="1">
      <alignment vertical="center"/>
    </xf>
    <xf numFmtId="0" fontId="1" fillId="10" borderId="15" xfId="0" applyFont="1" applyFill="1" applyBorder="1" applyAlignment="1">
      <alignment vertical="center"/>
    </xf>
    <xf numFmtId="187" fontId="1" fillId="10" borderId="15" xfId="0" applyNumberFormat="1" applyFont="1" applyFill="1" applyBorder="1" applyAlignment="1">
      <alignment vertical="center"/>
    </xf>
    <xf numFmtId="0" fontId="1" fillId="10" borderId="16" xfId="0" applyFont="1" applyFill="1" applyBorder="1" applyAlignment="1">
      <alignment vertical="center"/>
    </xf>
    <xf numFmtId="0" fontId="1" fillId="10" borderId="17" xfId="0" applyFont="1" applyFill="1" applyBorder="1" applyAlignment="1">
      <alignment horizontal="left" vertical="center"/>
    </xf>
    <xf numFmtId="189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center" vertical="center"/>
    </xf>
    <xf numFmtId="188" fontId="2" fillId="10" borderId="17" xfId="0" applyNumberFormat="1" applyFont="1" applyFill="1" applyBorder="1" applyAlignment="1">
      <alignment vertical="center"/>
    </xf>
    <xf numFmtId="190" fontId="1" fillId="11" borderId="18" xfId="0" applyNumberFormat="1" applyFont="1" applyFill="1" applyBorder="1" applyAlignment="1">
      <alignment vertical="center"/>
    </xf>
    <xf numFmtId="0" fontId="1" fillId="11" borderId="19" xfId="0" applyFont="1" applyFill="1" applyBorder="1" applyAlignment="1">
      <alignment vertical="center"/>
    </xf>
    <xf numFmtId="187" fontId="1" fillId="11" borderId="19" xfId="0" applyNumberFormat="1" applyFont="1" applyFill="1" applyBorder="1" applyAlignment="1">
      <alignment vertical="center"/>
    </xf>
    <xf numFmtId="0" fontId="1" fillId="11" borderId="13" xfId="0" applyFont="1" applyFill="1" applyBorder="1" applyAlignment="1">
      <alignment horizontal="center" vertical="center" wrapText="1"/>
    </xf>
    <xf numFmtId="189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vertical="center"/>
    </xf>
    <xf numFmtId="190" fontId="1" fillId="3" borderId="18" xfId="0" applyNumberFormat="1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0" fontId="5" fillId="3" borderId="19" xfId="0" quotePrefix="1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0" fontId="2" fillId="3" borderId="20" xfId="0" applyFont="1" applyFill="1" applyBorder="1" applyAlignment="1">
      <alignment vertical="center"/>
    </xf>
    <xf numFmtId="187" fontId="2" fillId="0" borderId="13" xfId="0" applyNumberFormat="1" applyFont="1" applyBorder="1" applyAlignment="1">
      <alignment horizontal="center" vertical="center" wrapText="1"/>
    </xf>
    <xf numFmtId="189" fontId="2" fillId="0" borderId="13" xfId="0" applyNumberFormat="1" applyFont="1" applyBorder="1" applyAlignment="1">
      <alignment horizontal="right" vertical="center" wrapText="1"/>
    </xf>
    <xf numFmtId="188" fontId="2" fillId="0" borderId="13" xfId="0" applyNumberFormat="1" applyFont="1" applyBorder="1" applyAlignment="1">
      <alignment horizontal="right" vertical="center" wrapText="1"/>
    </xf>
    <xf numFmtId="188" fontId="1" fillId="3" borderId="13" xfId="0" applyNumberFormat="1" applyFont="1" applyFill="1" applyBorder="1" applyAlignment="1">
      <alignment vertical="center"/>
    </xf>
    <xf numFmtId="187" fontId="1" fillId="3" borderId="19" xfId="0" applyNumberFormat="1" applyFont="1" applyFill="1" applyBorder="1" applyAlignment="1">
      <alignment vertical="center"/>
    </xf>
    <xf numFmtId="0" fontId="2" fillId="3" borderId="20" xfId="0" applyFont="1" applyFill="1" applyBorder="1" applyAlignment="1">
      <alignment horizontal="left" vertical="center"/>
    </xf>
    <xf numFmtId="188" fontId="2" fillId="3" borderId="13" xfId="0" applyNumberFormat="1" applyFont="1" applyFill="1" applyBorder="1" applyAlignment="1">
      <alignment vertical="center"/>
    </xf>
    <xf numFmtId="188" fontId="2" fillId="4" borderId="13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5" fillId="12" borderId="19" xfId="0" quotePrefix="1" applyFont="1" applyFill="1" applyBorder="1" applyAlignment="1">
      <alignment vertical="center"/>
    </xf>
    <xf numFmtId="0" fontId="2" fillId="12" borderId="19" xfId="0" applyFont="1" applyFill="1" applyBorder="1" applyAlignment="1">
      <alignment vertical="center"/>
    </xf>
    <xf numFmtId="0" fontId="2" fillId="12" borderId="20" xfId="0" applyFont="1" applyFill="1" applyBorder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188" fontId="2" fillId="0" borderId="13" xfId="0" applyNumberFormat="1" applyFont="1" applyBorder="1" applyAlignment="1">
      <alignment vertical="center"/>
    </xf>
    <xf numFmtId="0" fontId="2" fillId="13" borderId="19" xfId="0" applyFont="1" applyFill="1" applyBorder="1" applyAlignment="1">
      <alignment horizontal="right" vertical="center"/>
    </xf>
    <xf numFmtId="0" fontId="2" fillId="13" borderId="19" xfId="0" quotePrefix="1" applyFont="1" applyFill="1" applyBorder="1" applyAlignment="1">
      <alignment vertical="center"/>
    </xf>
    <xf numFmtId="0" fontId="2" fillId="13" borderId="19" xfId="0" applyFont="1" applyFill="1" applyBorder="1" applyAlignment="1">
      <alignment vertical="center"/>
    </xf>
    <xf numFmtId="0" fontId="2" fillId="13" borderId="20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 wrapText="1"/>
    </xf>
    <xf numFmtId="189" fontId="2" fillId="3" borderId="13" xfId="0" applyNumberFormat="1" applyFont="1" applyFill="1" applyBorder="1" applyAlignment="1">
      <alignment horizontal="right" vertical="center" wrapText="1"/>
    </xf>
    <xf numFmtId="189" fontId="2" fillId="2" borderId="13" xfId="0" applyNumberFormat="1" applyFont="1" applyFill="1" applyBorder="1" applyAlignment="1">
      <alignment horizontal="right" vertical="center" wrapText="1"/>
    </xf>
    <xf numFmtId="0" fontId="2" fillId="8" borderId="19" xfId="0" applyFont="1" applyFill="1" applyBorder="1" applyAlignment="1">
      <alignment horizontal="right" vertical="center"/>
    </xf>
    <xf numFmtId="0" fontId="2" fillId="8" borderId="19" xfId="0" quotePrefix="1" applyFont="1" applyFill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quotePrefix="1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22" xfId="0" applyFont="1" applyBorder="1" applyAlignment="1">
      <alignment horizontal="right" vertical="center"/>
    </xf>
    <xf numFmtId="0" fontId="1" fillId="0" borderId="13" xfId="0" applyFont="1" applyBorder="1" applyAlignment="1">
      <alignment horizontal="center" vertical="center" wrapText="1"/>
    </xf>
    <xf numFmtId="189" fontId="1" fillId="3" borderId="13" xfId="0" applyNumberFormat="1" applyFont="1" applyFill="1" applyBorder="1" applyAlignment="1">
      <alignment horizontal="right" vertical="center" wrapText="1"/>
    </xf>
    <xf numFmtId="188" fontId="1" fillId="0" borderId="13" xfId="0" applyNumberFormat="1" applyFont="1" applyBorder="1" applyAlignment="1">
      <alignment horizontal="right" vertical="center" wrapText="1"/>
    </xf>
    <xf numFmtId="0" fontId="2" fillId="14" borderId="19" xfId="0" applyFont="1" applyFill="1" applyBorder="1" applyAlignment="1">
      <alignment horizontal="right" vertical="center"/>
    </xf>
    <xf numFmtId="0" fontId="2" fillId="14" borderId="19" xfId="0" quotePrefix="1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4" borderId="20" xfId="0" applyFont="1" applyFill="1" applyBorder="1" applyAlignment="1">
      <alignment vertical="center"/>
    </xf>
    <xf numFmtId="189" fontId="2" fillId="2" borderId="19" xfId="0" applyNumberFormat="1" applyFont="1" applyFill="1" applyBorder="1" applyAlignment="1">
      <alignment horizontal="right" vertical="center"/>
    </xf>
    <xf numFmtId="187" fontId="1" fillId="10" borderId="18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vertical="center" wrapText="1"/>
    </xf>
    <xf numFmtId="187" fontId="1" fillId="10" borderId="19" xfId="0" applyNumberFormat="1" applyFont="1" applyFill="1" applyBorder="1" applyAlignment="1">
      <alignment vertical="center" wrapText="1"/>
    </xf>
    <xf numFmtId="0" fontId="2" fillId="10" borderId="19" xfId="0" applyFont="1" applyFill="1" applyBorder="1" applyAlignment="1">
      <alignment vertical="center" wrapText="1"/>
    </xf>
    <xf numFmtId="0" fontId="2" fillId="10" borderId="20" xfId="0" applyFont="1" applyFill="1" applyBorder="1" applyAlignment="1">
      <alignment vertical="center" wrapText="1"/>
    </xf>
    <xf numFmtId="0" fontId="2" fillId="10" borderId="13" xfId="0" applyFont="1" applyFill="1" applyBorder="1" applyAlignment="1">
      <alignment horizontal="center" vertical="center" wrapText="1"/>
    </xf>
    <xf numFmtId="189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vertical="center" wrapText="1"/>
    </xf>
    <xf numFmtId="188" fontId="2" fillId="10" borderId="13" xfId="0" applyNumberFormat="1" applyFont="1" applyFill="1" applyBorder="1" applyAlignment="1">
      <alignment vertical="center"/>
    </xf>
    <xf numFmtId="0" fontId="1" fillId="11" borderId="20" xfId="0" applyFont="1" applyFill="1" applyBorder="1" applyAlignment="1">
      <alignment vertical="center"/>
    </xf>
    <xf numFmtId="188" fontId="1" fillId="11" borderId="13" xfId="0" applyNumberFormat="1" applyFont="1" applyFill="1" applyBorder="1" applyAlignment="1">
      <alignment vertical="center" wrapText="1"/>
    </xf>
    <xf numFmtId="0" fontId="2" fillId="0" borderId="23" xfId="0" quotePrefix="1" applyFont="1" applyBorder="1" applyAlignment="1">
      <alignment vertical="center" wrapText="1"/>
    </xf>
    <xf numFmtId="0" fontId="2" fillId="0" borderId="23" xfId="0" quotePrefix="1" applyFont="1" applyBorder="1" applyAlignment="1">
      <alignment vertical="center"/>
    </xf>
    <xf numFmtId="0" fontId="1" fillId="10" borderId="19" xfId="0" applyFont="1" applyFill="1" applyBorder="1" applyAlignment="1">
      <alignment vertical="center"/>
    </xf>
    <xf numFmtId="190" fontId="1" fillId="10" borderId="19" xfId="0" applyNumberFormat="1" applyFont="1" applyFill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0" fontId="2" fillId="10" borderId="20" xfId="0" applyFont="1" applyFill="1" applyBorder="1" applyAlignment="1">
      <alignment vertical="center"/>
    </xf>
    <xf numFmtId="190" fontId="1" fillId="11" borderId="19" xfId="0" applyNumberFormat="1" applyFont="1" applyFill="1" applyBorder="1" applyAlignment="1">
      <alignment vertical="center"/>
    </xf>
    <xf numFmtId="187" fontId="1" fillId="0" borderId="24" xfId="0" applyNumberFormat="1" applyFont="1" applyBorder="1" applyAlignment="1">
      <alignment vertical="center"/>
    </xf>
    <xf numFmtId="187" fontId="1" fillId="0" borderId="25" xfId="0" applyNumberFormat="1" applyFont="1" applyBorder="1" applyAlignment="1">
      <alignment vertical="center"/>
    </xf>
    <xf numFmtId="0" fontId="2" fillId="14" borderId="26" xfId="0" applyFont="1" applyFill="1" applyBorder="1" applyAlignment="1">
      <alignment horizontal="right" vertical="center"/>
    </xf>
    <xf numFmtId="0" fontId="2" fillId="14" borderId="26" xfId="0" quotePrefix="1" applyFont="1" applyFill="1" applyBorder="1" applyAlignment="1">
      <alignment vertical="center"/>
    </xf>
    <xf numFmtId="0" fontId="2" fillId="14" borderId="26" xfId="0" applyFont="1" applyFill="1" applyBorder="1" applyAlignment="1">
      <alignment vertical="center"/>
    </xf>
    <xf numFmtId="0" fontId="2" fillId="14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right" vertical="center" wrapText="1"/>
    </xf>
    <xf numFmtId="189" fontId="2" fillId="2" borderId="26" xfId="0" applyNumberFormat="1" applyFont="1" applyFill="1" applyBorder="1" applyAlignment="1">
      <alignment horizontal="right" vertical="center"/>
    </xf>
    <xf numFmtId="188" fontId="2" fillId="0" borderId="28" xfId="0" applyNumberFormat="1" applyFont="1" applyBorder="1" applyAlignment="1">
      <alignment horizontal="right" vertical="center" wrapText="1"/>
    </xf>
    <xf numFmtId="188" fontId="2" fillId="0" borderId="28" xfId="0" applyNumberFormat="1" applyFont="1" applyBorder="1" applyAlignment="1">
      <alignment vertical="center"/>
    </xf>
    <xf numFmtId="187" fontId="1" fillId="14" borderId="29" xfId="0" applyNumberFormat="1" applyFont="1" applyFill="1" applyBorder="1" applyAlignment="1">
      <alignment vertical="center"/>
    </xf>
    <xf numFmtId="187" fontId="1" fillId="14" borderId="30" xfId="0" applyNumberFormat="1" applyFont="1" applyFill="1" applyBorder="1" applyAlignment="1">
      <alignment vertical="center"/>
    </xf>
    <xf numFmtId="0" fontId="2" fillId="14" borderId="30" xfId="0" applyFont="1" applyFill="1" applyBorder="1" applyAlignment="1">
      <alignment vertical="center"/>
    </xf>
    <xf numFmtId="0" fontId="2" fillId="14" borderId="31" xfId="0" applyFont="1" applyFill="1" applyBorder="1" applyAlignment="1">
      <alignment vertical="center"/>
    </xf>
    <xf numFmtId="0" fontId="2" fillId="14" borderId="32" xfId="0" applyFont="1" applyFill="1" applyBorder="1" applyAlignment="1">
      <alignment horizontal="left" vertical="center"/>
    </xf>
    <xf numFmtId="189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vertical="center"/>
    </xf>
    <xf numFmtId="187" fontId="1" fillId="15" borderId="18" xfId="0" applyNumberFormat="1" applyFont="1" applyFill="1" applyBorder="1" applyAlignment="1">
      <alignment vertical="center"/>
    </xf>
    <xf numFmtId="187" fontId="1" fillId="15" borderId="19" xfId="0" applyNumberFormat="1" applyFont="1" applyFill="1" applyBorder="1" applyAlignment="1">
      <alignment vertical="center"/>
    </xf>
    <xf numFmtId="0" fontId="1" fillId="15" borderId="19" xfId="0" applyFont="1" applyFill="1" applyBorder="1" applyAlignment="1">
      <alignment vertical="center"/>
    </xf>
    <xf numFmtId="0" fontId="1" fillId="15" borderId="20" xfId="0" applyFont="1" applyFill="1" applyBorder="1" applyAlignment="1">
      <alignment vertical="center"/>
    </xf>
    <xf numFmtId="0" fontId="1" fillId="15" borderId="13" xfId="0" applyFont="1" applyFill="1" applyBorder="1" applyAlignment="1">
      <alignment horizontal="center" vertical="center"/>
    </xf>
    <xf numFmtId="189" fontId="1" fillId="15" borderId="13" xfId="0" applyNumberFormat="1" applyFont="1" applyFill="1" applyBorder="1" applyAlignment="1">
      <alignment horizontal="center" vertical="center"/>
    </xf>
    <xf numFmtId="188" fontId="1" fillId="15" borderId="13" xfId="0" applyNumberFormat="1" applyFont="1" applyFill="1" applyBorder="1" applyAlignment="1">
      <alignment horizontal="center" vertical="center"/>
    </xf>
    <xf numFmtId="188" fontId="2" fillId="15" borderId="13" xfId="0" applyNumberFormat="1" applyFont="1" applyFill="1" applyBorder="1" applyAlignment="1">
      <alignment horizontal="right" vertical="center" wrapText="1"/>
    </xf>
    <xf numFmtId="187" fontId="1" fillId="12" borderId="18" xfId="0" applyNumberFormat="1" applyFont="1" applyFill="1" applyBorder="1" applyAlignment="1">
      <alignment vertical="center"/>
    </xf>
    <xf numFmtId="0" fontId="1" fillId="12" borderId="19" xfId="0" applyFont="1" applyFill="1" applyBorder="1" applyAlignment="1">
      <alignment vertical="center"/>
    </xf>
    <xf numFmtId="187" fontId="1" fillId="12" borderId="19" xfId="0" applyNumberFormat="1" applyFont="1" applyFill="1" applyBorder="1" applyAlignment="1">
      <alignment vertical="center"/>
    </xf>
    <xf numFmtId="0" fontId="1" fillId="12" borderId="20" xfId="0" applyFont="1" applyFill="1" applyBorder="1" applyAlignment="1">
      <alignment vertical="center"/>
    </xf>
    <xf numFmtId="0" fontId="1" fillId="12" borderId="13" xfId="0" applyFont="1" applyFill="1" applyBorder="1" applyAlignment="1">
      <alignment horizontal="center" vertical="center" wrapText="1"/>
    </xf>
    <xf numFmtId="189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vertical="center"/>
    </xf>
    <xf numFmtId="188" fontId="1" fillId="0" borderId="13" xfId="0" applyNumberFormat="1" applyFont="1" applyBorder="1" applyAlignment="1">
      <alignment vertical="center"/>
    </xf>
    <xf numFmtId="187" fontId="1" fillId="16" borderId="18" xfId="0" applyNumberFormat="1" applyFont="1" applyFill="1" applyBorder="1" applyAlignment="1">
      <alignment vertical="center"/>
    </xf>
    <xf numFmtId="187" fontId="1" fillId="16" borderId="19" xfId="0" applyNumberFormat="1" applyFont="1" applyFill="1" applyBorder="1" applyAlignment="1">
      <alignment vertical="center"/>
    </xf>
    <xf numFmtId="0" fontId="1" fillId="16" borderId="19" xfId="0" applyFont="1" applyFill="1" applyBorder="1" applyAlignment="1">
      <alignment vertical="center"/>
    </xf>
    <xf numFmtId="0" fontId="1" fillId="16" borderId="20" xfId="0" applyFont="1" applyFill="1" applyBorder="1" applyAlignment="1">
      <alignment vertical="center"/>
    </xf>
    <xf numFmtId="0" fontId="2" fillId="16" borderId="13" xfId="0" applyFont="1" applyFill="1" applyBorder="1" applyAlignment="1">
      <alignment horizontal="center" vertical="center" wrapText="1"/>
    </xf>
    <xf numFmtId="189" fontId="2" fillId="16" borderId="13" xfId="0" applyNumberFormat="1" applyFont="1" applyFill="1" applyBorder="1" applyAlignment="1">
      <alignment horizontal="right" vertical="center" wrapText="1"/>
    </xf>
    <xf numFmtId="188" fontId="2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vertical="center"/>
    </xf>
    <xf numFmtId="0" fontId="1" fillId="16" borderId="13" xfId="0" applyFont="1" applyFill="1" applyBorder="1" applyAlignment="1">
      <alignment horizontal="center" vertical="center" shrinkToFit="1"/>
    </xf>
    <xf numFmtId="189" fontId="1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horizontal="right" vertical="center" wrapText="1"/>
    </xf>
    <xf numFmtId="0" fontId="1" fillId="16" borderId="13" xfId="0" applyFont="1" applyFill="1" applyBorder="1" applyAlignment="1">
      <alignment horizontal="center" vertical="center" wrapText="1"/>
    </xf>
    <xf numFmtId="187" fontId="1" fillId="16" borderId="19" xfId="0" applyNumberFormat="1" applyFont="1" applyFill="1" applyBorder="1" applyAlignment="1">
      <alignment horizontal="left" vertical="center"/>
    </xf>
    <xf numFmtId="189" fontId="1" fillId="2" borderId="13" xfId="0" applyNumberFormat="1" applyFont="1" applyFill="1" applyBorder="1" applyAlignment="1">
      <alignment horizontal="right" vertical="center" wrapText="1"/>
    </xf>
    <xf numFmtId="0" fontId="1" fillId="0" borderId="22" xfId="0" applyFont="1" applyBorder="1" applyAlignment="1">
      <alignment vertical="center"/>
    </xf>
    <xf numFmtId="187" fontId="1" fillId="12" borderId="19" xfId="0" applyNumberFormat="1" applyFont="1" applyFill="1" applyBorder="1" applyAlignment="1">
      <alignment horizontal="left" vertical="center"/>
    </xf>
    <xf numFmtId="187" fontId="1" fillId="17" borderId="29" xfId="0" applyNumberFormat="1" applyFont="1" applyFill="1" applyBorder="1" applyAlignment="1">
      <alignment vertical="center"/>
    </xf>
    <xf numFmtId="187" fontId="1" fillId="17" borderId="30" xfId="0" applyNumberFormat="1" applyFont="1" applyFill="1" applyBorder="1" applyAlignment="1">
      <alignment vertical="center"/>
    </xf>
    <xf numFmtId="0" fontId="1" fillId="17" borderId="30" xfId="0" applyFont="1" applyFill="1" applyBorder="1" applyAlignment="1">
      <alignment vertical="center"/>
    </xf>
    <xf numFmtId="0" fontId="1" fillId="17" borderId="31" xfId="0" applyFont="1" applyFill="1" applyBorder="1" applyAlignment="1">
      <alignment vertical="center"/>
    </xf>
    <xf numFmtId="0" fontId="1" fillId="17" borderId="32" xfId="0" applyFont="1" applyFill="1" applyBorder="1" applyAlignment="1">
      <alignment horizontal="left" vertical="center"/>
    </xf>
    <xf numFmtId="189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vertical="center"/>
    </xf>
    <xf numFmtId="188" fontId="2" fillId="17" borderId="32" xfId="0" applyNumberFormat="1" applyFont="1" applyFill="1" applyBorder="1" applyAlignment="1">
      <alignment vertical="center"/>
    </xf>
    <xf numFmtId="187" fontId="1" fillId="18" borderId="18" xfId="0" applyNumberFormat="1" applyFont="1" applyFill="1" applyBorder="1" applyAlignment="1">
      <alignment vertical="center"/>
    </xf>
    <xf numFmtId="187" fontId="1" fillId="18" borderId="19" xfId="0" applyNumberFormat="1" applyFont="1" applyFill="1" applyBorder="1" applyAlignment="1">
      <alignment vertical="center"/>
    </xf>
    <xf numFmtId="0" fontId="1" fillId="18" borderId="19" xfId="0" applyFont="1" applyFill="1" applyBorder="1" applyAlignment="1">
      <alignment vertical="center"/>
    </xf>
    <xf numFmtId="0" fontId="1" fillId="18" borderId="20" xfId="0" applyFont="1" applyFill="1" applyBorder="1" applyAlignment="1">
      <alignment vertical="center"/>
    </xf>
    <xf numFmtId="0" fontId="1" fillId="18" borderId="13" xfId="0" applyFont="1" applyFill="1" applyBorder="1" applyAlignment="1">
      <alignment horizontal="center" vertical="center"/>
    </xf>
    <xf numFmtId="189" fontId="1" fillId="18" borderId="13" xfId="0" applyNumberFormat="1" applyFont="1" applyFill="1" applyBorder="1" applyAlignment="1">
      <alignment vertical="center"/>
    </xf>
    <xf numFmtId="188" fontId="1" fillId="18" borderId="13" xfId="0" applyNumberFormat="1" applyFont="1" applyFill="1" applyBorder="1" applyAlignment="1">
      <alignment vertical="center"/>
    </xf>
    <xf numFmtId="188" fontId="2" fillId="18" borderId="13" xfId="0" applyNumberFormat="1" applyFont="1" applyFill="1" applyBorder="1" applyAlignment="1">
      <alignment horizontal="right" vertical="center" wrapText="1"/>
    </xf>
    <xf numFmtId="187" fontId="1" fillId="19" borderId="18" xfId="0" applyNumberFormat="1" applyFont="1" applyFill="1" applyBorder="1" applyAlignment="1">
      <alignment vertical="center"/>
    </xf>
    <xf numFmtId="0" fontId="1" fillId="19" borderId="19" xfId="0" applyFont="1" applyFill="1" applyBorder="1" applyAlignment="1">
      <alignment vertical="center"/>
    </xf>
    <xf numFmtId="0" fontId="1" fillId="19" borderId="20" xfId="0" applyFont="1" applyFill="1" applyBorder="1" applyAlignment="1">
      <alignment vertical="center"/>
    </xf>
    <xf numFmtId="0" fontId="1" fillId="19" borderId="13" xfId="0" applyFont="1" applyFill="1" applyBorder="1" applyAlignment="1">
      <alignment horizontal="center" vertical="center" wrapText="1"/>
    </xf>
    <xf numFmtId="189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vertical="center"/>
    </xf>
    <xf numFmtId="187" fontId="1" fillId="18" borderId="20" xfId="0" applyNumberFormat="1" applyFont="1" applyFill="1" applyBorder="1" applyAlignment="1">
      <alignment vertical="center"/>
    </xf>
    <xf numFmtId="0" fontId="1" fillId="18" borderId="13" xfId="0" applyFont="1" applyFill="1" applyBorder="1" applyAlignment="1">
      <alignment horizontal="left" vertical="center"/>
    </xf>
    <xf numFmtId="189" fontId="1" fillId="18" borderId="13" xfId="0" applyNumberFormat="1" applyFont="1" applyFill="1" applyBorder="1" applyAlignment="1">
      <alignment horizontal="right" vertical="center"/>
    </xf>
    <xf numFmtId="188" fontId="1" fillId="18" borderId="13" xfId="0" applyNumberFormat="1" applyFont="1" applyFill="1" applyBorder="1" applyAlignment="1">
      <alignment horizontal="right" vertical="center"/>
    </xf>
    <xf numFmtId="190" fontId="1" fillId="19" borderId="18" xfId="0" applyNumberFormat="1" applyFont="1" applyFill="1" applyBorder="1" applyAlignment="1">
      <alignment vertical="center"/>
    </xf>
    <xf numFmtId="190" fontId="1" fillId="19" borderId="19" xfId="0" applyNumberFormat="1" applyFont="1" applyFill="1" applyBorder="1" applyAlignment="1">
      <alignment vertical="center"/>
    </xf>
    <xf numFmtId="187" fontId="1" fillId="19" borderId="19" xfId="0" applyNumberFormat="1" applyFont="1" applyFill="1" applyBorder="1" applyAlignment="1">
      <alignment vertical="center"/>
    </xf>
    <xf numFmtId="189" fontId="2" fillId="2" borderId="20" xfId="0" applyNumberFormat="1" applyFont="1" applyFill="1" applyBorder="1" applyAlignment="1">
      <alignment horizontal="right" vertical="center"/>
    </xf>
    <xf numFmtId="190" fontId="1" fillId="19" borderId="33" xfId="0" applyNumberFormat="1" applyFont="1" applyFill="1" applyBorder="1" applyAlignment="1">
      <alignment vertical="center"/>
    </xf>
    <xf numFmtId="0" fontId="1" fillId="19" borderId="34" xfId="0" applyFont="1" applyFill="1" applyBorder="1" applyAlignment="1">
      <alignment vertical="center"/>
    </xf>
    <xf numFmtId="190" fontId="1" fillId="19" borderId="34" xfId="0" applyNumberFormat="1" applyFont="1" applyFill="1" applyBorder="1" applyAlignment="1">
      <alignment vertical="center"/>
    </xf>
    <xf numFmtId="187" fontId="1" fillId="19" borderId="34" xfId="0" applyNumberFormat="1" applyFont="1" applyFill="1" applyBorder="1" applyAlignment="1">
      <alignment vertical="center"/>
    </xf>
    <xf numFmtId="0" fontId="1" fillId="19" borderId="35" xfId="0" applyFont="1" applyFill="1" applyBorder="1" applyAlignment="1">
      <alignment vertical="center"/>
    </xf>
    <xf numFmtId="0" fontId="1" fillId="19" borderId="36" xfId="0" applyFont="1" applyFill="1" applyBorder="1" applyAlignment="1">
      <alignment horizontal="center" vertical="center" wrapText="1"/>
    </xf>
    <xf numFmtId="189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vertical="center"/>
    </xf>
    <xf numFmtId="189" fontId="1" fillId="19" borderId="13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189" fontId="2" fillId="3" borderId="13" xfId="0" applyNumberFormat="1" applyFont="1" applyFill="1" applyBorder="1" applyAlignment="1">
      <alignment horizontal="center" vertical="center"/>
    </xf>
    <xf numFmtId="188" fontId="2" fillId="3" borderId="13" xfId="0" applyNumberFormat="1" applyFont="1" applyFill="1" applyBorder="1" applyAlignment="1">
      <alignment horizontal="center" vertical="center"/>
    </xf>
    <xf numFmtId="188" fontId="2" fillId="0" borderId="13" xfId="0" applyNumberFormat="1" applyFont="1" applyBorder="1" applyAlignment="1">
      <alignment horizontal="left" vertical="center" shrinkToFit="1"/>
    </xf>
    <xf numFmtId="0" fontId="1" fillId="0" borderId="25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2" fillId="0" borderId="37" xfId="0" applyFont="1" applyBorder="1" applyAlignment="1">
      <alignment vertical="center"/>
    </xf>
    <xf numFmtId="0" fontId="2" fillId="0" borderId="28" xfId="0" applyFont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center" vertical="center"/>
    </xf>
    <xf numFmtId="188" fontId="2" fillId="0" borderId="28" xfId="0" applyNumberFormat="1" applyFont="1" applyBorder="1" applyAlignment="1">
      <alignment horizontal="left" vertical="center" shrinkToFit="1"/>
    </xf>
    <xf numFmtId="0" fontId="1" fillId="20" borderId="29" xfId="0" applyFont="1" applyFill="1" applyBorder="1" applyAlignment="1">
      <alignment vertical="center"/>
    </xf>
    <xf numFmtId="0" fontId="1" fillId="20" borderId="30" xfId="0" applyFont="1" applyFill="1" applyBorder="1" applyAlignment="1">
      <alignment vertical="center"/>
    </xf>
    <xf numFmtId="0" fontId="1" fillId="20" borderId="31" xfId="0" applyFont="1" applyFill="1" applyBorder="1" applyAlignment="1">
      <alignment vertical="center"/>
    </xf>
    <xf numFmtId="0" fontId="1" fillId="20" borderId="32" xfId="0" applyFont="1" applyFill="1" applyBorder="1" applyAlignment="1">
      <alignment vertical="center"/>
    </xf>
    <xf numFmtId="189" fontId="1" fillId="20" borderId="32" xfId="0" applyNumberFormat="1" applyFont="1" applyFill="1" applyBorder="1" applyAlignment="1">
      <alignment vertical="center"/>
    </xf>
    <xf numFmtId="188" fontId="1" fillId="20" borderId="32" xfId="0" applyNumberFormat="1" applyFont="1" applyFill="1" applyBorder="1" applyAlignment="1">
      <alignment vertical="center"/>
    </xf>
    <xf numFmtId="0" fontId="1" fillId="21" borderId="18" xfId="0" applyFont="1" applyFill="1" applyBorder="1" applyAlignment="1">
      <alignment vertical="center"/>
    </xf>
    <xf numFmtId="0" fontId="1" fillId="21" borderId="19" xfId="0" applyFont="1" applyFill="1" applyBorder="1" applyAlignment="1">
      <alignment vertical="center"/>
    </xf>
    <xf numFmtId="0" fontId="1" fillId="21" borderId="20" xfId="0" applyFont="1" applyFill="1" applyBorder="1" applyAlignment="1">
      <alignment vertical="center"/>
    </xf>
    <xf numFmtId="0" fontId="1" fillId="21" borderId="13" xfId="0" applyFont="1" applyFill="1" applyBorder="1" applyAlignment="1">
      <alignment horizontal="left" vertical="center"/>
    </xf>
    <xf numFmtId="189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vertical="center"/>
    </xf>
    <xf numFmtId="0" fontId="1" fillId="22" borderId="18" xfId="0" applyFont="1" applyFill="1" applyBorder="1" applyAlignment="1">
      <alignment vertical="center"/>
    </xf>
    <xf numFmtId="187" fontId="1" fillId="22" borderId="19" xfId="0" applyNumberFormat="1" applyFont="1" applyFill="1" applyBorder="1" applyAlignment="1">
      <alignment vertical="center"/>
    </xf>
    <xf numFmtId="0" fontId="1" fillId="22" borderId="19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22" borderId="13" xfId="0" applyFont="1" applyFill="1" applyBorder="1" applyAlignment="1">
      <alignment horizontal="center" vertical="center"/>
    </xf>
    <xf numFmtId="189" fontId="1" fillId="22" borderId="13" xfId="0" applyNumberFormat="1" applyFont="1" applyFill="1" applyBorder="1" applyAlignment="1">
      <alignment horizontal="center" vertical="center"/>
    </xf>
    <xf numFmtId="188" fontId="1" fillId="22" borderId="13" xfId="0" applyNumberFormat="1" applyFont="1" applyFill="1" applyBorder="1" applyAlignment="1">
      <alignment horizontal="right" vertical="center" wrapText="1"/>
    </xf>
    <xf numFmtId="188" fontId="1" fillId="22" borderId="13" xfId="0" applyNumberFormat="1" applyFont="1" applyFill="1" applyBorder="1" applyAlignment="1">
      <alignment vertical="center"/>
    </xf>
    <xf numFmtId="187" fontId="1" fillId="3" borderId="21" xfId="0" applyNumberFormat="1" applyFont="1" applyFill="1" applyBorder="1" applyAlignment="1">
      <alignment vertical="center"/>
    </xf>
    <xf numFmtId="187" fontId="1" fillId="3" borderId="22" xfId="0" applyNumberFormat="1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188" fontId="2" fillId="3" borderId="13" xfId="0" applyNumberFormat="1" applyFont="1" applyFill="1" applyBorder="1" applyAlignment="1">
      <alignment horizontal="right" vertical="center" wrapText="1"/>
    </xf>
    <xf numFmtId="0" fontId="2" fillId="3" borderId="23" xfId="0" quotePrefix="1" applyFont="1" applyFill="1" applyBorder="1" applyAlignment="1">
      <alignment vertical="center"/>
    </xf>
    <xf numFmtId="0" fontId="2" fillId="22" borderId="19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1" fillId="22" borderId="22" xfId="0" applyFont="1" applyFill="1" applyBorder="1" applyAlignment="1">
      <alignment vertical="center"/>
    </xf>
    <xf numFmtId="0" fontId="2" fillId="22" borderId="22" xfId="0" applyFont="1" applyFill="1" applyBorder="1" applyAlignment="1">
      <alignment vertical="center"/>
    </xf>
    <xf numFmtId="0" fontId="2" fillId="22" borderId="23" xfId="0" applyFont="1" applyFill="1" applyBorder="1" applyAlignment="1">
      <alignment vertical="center"/>
    </xf>
    <xf numFmtId="0" fontId="1" fillId="22" borderId="23" xfId="0" applyFont="1" applyFill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3" borderId="13" xfId="0" applyFont="1" applyFill="1" applyBorder="1" applyAlignment="1">
      <alignment horizontal="center" vertical="center" wrapText="1"/>
    </xf>
    <xf numFmtId="0" fontId="2" fillId="0" borderId="22" xfId="0" quotePrefix="1" applyFont="1" applyBorder="1" applyAlignment="1">
      <alignment horizontal="left" vertical="center"/>
    </xf>
    <xf numFmtId="189" fontId="1" fillId="3" borderId="13" xfId="0" applyNumberFormat="1" applyFont="1" applyFill="1" applyBorder="1" applyAlignment="1">
      <alignment horizontal="center" vertical="center"/>
    </xf>
    <xf numFmtId="187" fontId="1" fillId="0" borderId="25" xfId="0" applyNumberFormat="1" applyFont="1" applyBorder="1" applyAlignment="1">
      <alignment horizontal="left" vertical="center"/>
    </xf>
    <xf numFmtId="0" fontId="2" fillId="0" borderId="25" xfId="0" applyFont="1" applyBorder="1" applyAlignment="1">
      <alignment horizontal="right" vertical="center"/>
    </xf>
    <xf numFmtId="0" fontId="2" fillId="0" borderId="37" xfId="0" quotePrefix="1" applyFont="1" applyBorder="1" applyAlignment="1">
      <alignment vertical="center"/>
    </xf>
    <xf numFmtId="189" fontId="2" fillId="2" borderId="28" xfId="0" applyNumberFormat="1" applyFont="1" applyFill="1" applyBorder="1" applyAlignment="1">
      <alignment horizontal="right" vertical="center" wrapText="1"/>
    </xf>
    <xf numFmtId="189" fontId="2" fillId="0" borderId="13" xfId="0" applyNumberFormat="1" applyFont="1" applyBorder="1" applyAlignment="1">
      <alignment horizontal="center"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1" fillId="22" borderId="33" xfId="0" applyFont="1" applyFill="1" applyBorder="1" applyAlignment="1">
      <alignment vertical="center"/>
    </xf>
    <xf numFmtId="187" fontId="1" fillId="22" borderId="34" xfId="0" applyNumberFormat="1" applyFont="1" applyFill="1" applyBorder="1" applyAlignment="1">
      <alignment vertical="center"/>
    </xf>
    <xf numFmtId="0" fontId="1" fillId="22" borderId="34" xfId="0" applyFont="1" applyFill="1" applyBorder="1" applyAlignment="1">
      <alignment vertical="center"/>
    </xf>
    <xf numFmtId="0" fontId="1" fillId="22" borderId="35" xfId="0" applyFont="1" applyFill="1" applyBorder="1" applyAlignment="1">
      <alignment vertical="center"/>
    </xf>
    <xf numFmtId="0" fontId="1" fillId="22" borderId="36" xfId="0" applyFont="1" applyFill="1" applyBorder="1" applyAlignment="1">
      <alignment horizontal="center" vertical="center"/>
    </xf>
    <xf numFmtId="189" fontId="1" fillId="22" borderId="36" xfId="0" applyNumberFormat="1" applyFont="1" applyFill="1" applyBorder="1" applyAlignment="1">
      <alignment horizontal="center" vertical="center"/>
    </xf>
    <xf numFmtId="188" fontId="1" fillId="22" borderId="36" xfId="0" applyNumberFormat="1" applyFont="1" applyFill="1" applyBorder="1" applyAlignment="1">
      <alignment horizontal="right" vertical="center" wrapText="1"/>
    </xf>
    <xf numFmtId="188" fontId="1" fillId="22" borderId="36" xfId="0" applyNumberFormat="1" applyFont="1" applyFill="1" applyBorder="1" applyAlignment="1">
      <alignment vertical="center"/>
    </xf>
    <xf numFmtId="0" fontId="1" fillId="0" borderId="22" xfId="0" quotePrefix="1" applyFont="1" applyBorder="1" applyAlignment="1">
      <alignment vertical="center"/>
    </xf>
    <xf numFmtId="187" fontId="1" fillId="12" borderId="22" xfId="0" applyNumberFormat="1" applyFont="1" applyFill="1" applyBorder="1" applyAlignment="1">
      <alignment horizontal="left" vertical="center"/>
    </xf>
    <xf numFmtId="0" fontId="1" fillId="12" borderId="22" xfId="0" applyFont="1" applyFill="1" applyBorder="1" applyAlignment="1">
      <alignment vertical="center"/>
    </xf>
    <xf numFmtId="0" fontId="1" fillId="12" borderId="23" xfId="0" applyFont="1" applyFill="1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189" fontId="1" fillId="0" borderId="13" xfId="0" applyNumberFormat="1" applyFont="1" applyBorder="1" applyAlignment="1">
      <alignment horizontal="right" vertical="center" wrapText="1"/>
    </xf>
    <xf numFmtId="0" fontId="2" fillId="0" borderId="23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7" fontId="2" fillId="0" borderId="38" xfId="0" applyNumberFormat="1" applyFont="1" applyBorder="1" applyAlignment="1">
      <alignment vertical="center"/>
    </xf>
    <xf numFmtId="187" fontId="2" fillId="0" borderId="39" xfId="0" applyNumberFormat="1" applyFont="1" applyBorder="1" applyAlignment="1">
      <alignment vertical="center"/>
    </xf>
    <xf numFmtId="187" fontId="2" fillId="0" borderId="39" xfId="0" applyNumberFormat="1" applyFont="1" applyBorder="1" applyAlignment="1">
      <alignment horizontal="left" vertical="center"/>
    </xf>
    <xf numFmtId="187" fontId="1" fillId="0" borderId="39" xfId="0" applyNumberFormat="1" applyFont="1" applyBorder="1" applyAlignment="1">
      <alignment horizontal="left" vertical="center"/>
    </xf>
    <xf numFmtId="0" fontId="2" fillId="0" borderId="39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188" fontId="2" fillId="0" borderId="41" xfId="0" applyNumberFormat="1" applyFont="1" applyBorder="1" applyAlignment="1">
      <alignment vertical="center"/>
    </xf>
    <xf numFmtId="187" fontId="2" fillId="0" borderId="24" xfId="0" applyNumberFormat="1" applyFont="1" applyBorder="1" applyAlignment="1">
      <alignment vertical="center"/>
    </xf>
    <xf numFmtId="187" fontId="2" fillId="0" borderId="25" xfId="0" applyNumberFormat="1" applyFont="1" applyBorder="1" applyAlignment="1">
      <alignment vertical="center"/>
    </xf>
    <xf numFmtId="187" fontId="2" fillId="0" borderId="25" xfId="0" applyNumberFormat="1" applyFont="1" applyBorder="1" applyAlignment="1">
      <alignment horizontal="left" vertical="center"/>
    </xf>
    <xf numFmtId="0" fontId="2" fillId="0" borderId="24" xfId="0" applyFont="1" applyBorder="1" applyAlignment="1">
      <alignment horizontal="center" vertical="center"/>
    </xf>
    <xf numFmtId="187" fontId="1" fillId="0" borderId="19" xfId="0" applyNumberFormat="1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18" xfId="0" applyFont="1" applyBorder="1" applyAlignment="1">
      <alignment horizontal="center" vertical="center"/>
    </xf>
    <xf numFmtId="188" fontId="1" fillId="3" borderId="13" xfId="0" applyNumberFormat="1" applyFont="1" applyFill="1" applyBorder="1" applyAlignment="1">
      <alignment horizontal="right" vertical="center" wrapText="1"/>
    </xf>
    <xf numFmtId="0" fontId="7" fillId="0" borderId="22" xfId="0" applyFont="1" applyBorder="1" applyAlignment="1">
      <alignment vertical="center"/>
    </xf>
    <xf numFmtId="0" fontId="2" fillId="12" borderId="22" xfId="0" applyFont="1" applyFill="1" applyBorder="1" applyAlignment="1">
      <alignment vertical="center"/>
    </xf>
    <xf numFmtId="0" fontId="2" fillId="12" borderId="23" xfId="0" applyFont="1" applyFill="1" applyBorder="1" applyAlignment="1">
      <alignment vertical="center"/>
    </xf>
    <xf numFmtId="0" fontId="2" fillId="12" borderId="21" xfId="0" applyFont="1" applyFill="1" applyBorder="1" applyAlignment="1">
      <alignment horizontal="center" vertical="center"/>
    </xf>
    <xf numFmtId="187" fontId="1" fillId="16" borderId="22" xfId="0" applyNumberFormat="1" applyFont="1" applyFill="1" applyBorder="1" applyAlignment="1">
      <alignment horizontal="left" vertical="center"/>
    </xf>
    <xf numFmtId="0" fontId="2" fillId="16" borderId="22" xfId="0" applyFont="1" applyFill="1" applyBorder="1" applyAlignment="1">
      <alignment vertical="center"/>
    </xf>
    <xf numFmtId="0" fontId="2" fillId="16" borderId="23" xfId="0" applyFont="1" applyFill="1" applyBorder="1" applyAlignment="1">
      <alignment vertical="center"/>
    </xf>
    <xf numFmtId="0" fontId="2" fillId="16" borderId="21" xfId="0" applyFont="1" applyFill="1" applyBorder="1" applyAlignment="1">
      <alignment horizontal="center" vertical="center"/>
    </xf>
    <xf numFmtId="187" fontId="1" fillId="0" borderId="42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horizontal="left" vertical="center"/>
    </xf>
    <xf numFmtId="0" fontId="2" fillId="0" borderId="43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42" xfId="0" applyFont="1" applyBorder="1" applyAlignment="1">
      <alignment horizontal="center" vertical="center"/>
    </xf>
    <xf numFmtId="189" fontId="2" fillId="0" borderId="28" xfId="0" applyNumberFormat="1" applyFont="1" applyBorder="1" applyAlignment="1">
      <alignment horizontal="right" vertical="center" wrapText="1"/>
    </xf>
    <xf numFmtId="189" fontId="2" fillId="2" borderId="45" xfId="0" applyNumberFormat="1" applyFont="1" applyFill="1" applyBorder="1" applyAlignment="1">
      <alignment horizontal="right" vertical="center" wrapText="1"/>
    </xf>
    <xf numFmtId="188" fontId="2" fillId="0" borderId="45" xfId="0" applyNumberFormat="1" applyFont="1" applyBorder="1" applyAlignment="1">
      <alignment horizontal="right" vertical="center" wrapText="1"/>
    </xf>
    <xf numFmtId="188" fontId="2" fillId="0" borderId="45" xfId="0" applyNumberFormat="1" applyFont="1" applyBorder="1" applyAlignment="1">
      <alignment vertical="center"/>
    </xf>
    <xf numFmtId="189" fontId="1" fillId="22" borderId="17" xfId="0" applyNumberFormat="1" applyFont="1" applyFill="1" applyBorder="1" applyAlignment="1">
      <alignment horizontal="center" vertical="center"/>
    </xf>
    <xf numFmtId="188" fontId="1" fillId="22" borderId="17" xfId="0" applyNumberFormat="1" applyFont="1" applyFill="1" applyBorder="1" applyAlignment="1">
      <alignment horizontal="right" vertical="center" wrapText="1"/>
    </xf>
    <xf numFmtId="0" fontId="2" fillId="14" borderId="46" xfId="0" applyFont="1" applyFill="1" applyBorder="1" applyAlignment="1">
      <alignment horizontal="right" vertical="center"/>
    </xf>
    <xf numFmtId="0" fontId="2" fillId="14" borderId="46" xfId="0" quotePrefix="1" applyFont="1" applyFill="1" applyBorder="1" applyAlignment="1">
      <alignment vertical="center"/>
    </xf>
    <xf numFmtId="0" fontId="2" fillId="14" borderId="46" xfId="0" applyFont="1" applyFill="1" applyBorder="1" applyAlignment="1">
      <alignment vertical="center"/>
    </xf>
    <xf numFmtId="0" fontId="2" fillId="14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right" vertical="center" wrapText="1"/>
    </xf>
    <xf numFmtId="189" fontId="2" fillId="2" borderId="46" xfId="0" applyNumberFormat="1" applyFont="1" applyFill="1" applyBorder="1" applyAlignment="1">
      <alignment horizontal="right" vertical="center"/>
    </xf>
    <xf numFmtId="187" fontId="1" fillId="3" borderId="22" xfId="0" applyNumberFormat="1" applyFont="1" applyFill="1" applyBorder="1" applyAlignment="1">
      <alignment horizontal="left" vertical="center"/>
    </xf>
    <xf numFmtId="0" fontId="2" fillId="3" borderId="22" xfId="0" applyFon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0" fontId="2" fillId="3" borderId="21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" fillId="3" borderId="18" xfId="0" applyFont="1" applyFill="1" applyBorder="1" applyAlignment="1">
      <alignment vertical="center"/>
    </xf>
    <xf numFmtId="0" fontId="1" fillId="3" borderId="48" xfId="0" applyFont="1" applyFill="1" applyBorder="1" applyAlignment="1">
      <alignment vertical="center"/>
    </xf>
    <xf numFmtId="187" fontId="1" fillId="3" borderId="46" xfId="0" applyNumberFormat="1" applyFont="1" applyFill="1" applyBorder="1" applyAlignment="1">
      <alignment vertical="center"/>
    </xf>
    <xf numFmtId="0" fontId="1" fillId="3" borderId="46" xfId="0" applyFont="1" applyFill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2" fillId="0" borderId="45" xfId="0" applyFont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center" vertical="center"/>
    </xf>
    <xf numFmtId="187" fontId="3" fillId="3" borderId="21" xfId="0" applyNumberFormat="1" applyFont="1" applyFill="1" applyBorder="1" applyAlignment="1">
      <alignment vertical="center"/>
    </xf>
    <xf numFmtId="187" fontId="3" fillId="3" borderId="22" xfId="0" applyNumberFormat="1" applyFont="1" applyFill="1" applyBorder="1" applyAlignment="1">
      <alignment vertical="center"/>
    </xf>
    <xf numFmtId="187" fontId="3" fillId="3" borderId="22" xfId="0" applyNumberFormat="1" applyFont="1" applyFill="1" applyBorder="1" applyAlignment="1">
      <alignment horizontal="left" vertical="center"/>
    </xf>
    <xf numFmtId="0" fontId="8" fillId="3" borderId="22" xfId="0" quotePrefix="1" applyFont="1" applyFill="1" applyBorder="1" applyAlignment="1">
      <alignment vertical="center"/>
    </xf>
    <xf numFmtId="0" fontId="8" fillId="3" borderId="22" xfId="0" applyFont="1" applyFill="1" applyBorder="1" applyAlignment="1">
      <alignment vertical="center"/>
    </xf>
    <xf numFmtId="0" fontId="8" fillId="3" borderId="23" xfId="0" applyFont="1" applyFill="1" applyBorder="1" applyAlignment="1">
      <alignment vertical="center"/>
    </xf>
    <xf numFmtId="0" fontId="8" fillId="3" borderId="13" xfId="0" applyFont="1" applyFill="1" applyBorder="1" applyAlignment="1">
      <alignment horizontal="center" vertical="center" wrapText="1"/>
    </xf>
    <xf numFmtId="189" fontId="8" fillId="3" borderId="13" xfId="0" applyNumberFormat="1" applyFont="1" applyFill="1" applyBorder="1" applyAlignment="1">
      <alignment horizontal="right" vertical="center" wrapText="1"/>
    </xf>
    <xf numFmtId="188" fontId="8" fillId="3" borderId="13" xfId="0" applyNumberFormat="1" applyFont="1" applyFill="1" applyBorder="1" applyAlignment="1">
      <alignment horizontal="right" vertical="center" wrapText="1"/>
    </xf>
    <xf numFmtId="188" fontId="8" fillId="3" borderId="13" xfId="0" applyNumberFormat="1" applyFont="1" applyFill="1" applyBorder="1" applyAlignment="1">
      <alignment vertical="center"/>
    </xf>
    <xf numFmtId="0" fontId="2" fillId="0" borderId="23" xfId="0" quotePrefix="1" applyFont="1" applyBorder="1" applyAlignment="1">
      <alignment horizontal="left" vertical="center"/>
    </xf>
    <xf numFmtId="0" fontId="1" fillId="8" borderId="18" xfId="0" applyFont="1" applyFill="1" applyBorder="1" applyAlignment="1">
      <alignment vertical="center"/>
    </xf>
    <xf numFmtId="0" fontId="1" fillId="8" borderId="19" xfId="0" applyFont="1" applyFill="1" applyBorder="1" applyAlignment="1">
      <alignment vertical="center"/>
    </xf>
    <xf numFmtId="0" fontId="1" fillId="8" borderId="20" xfId="0" applyFont="1" applyFill="1" applyBorder="1" applyAlignment="1">
      <alignment vertical="center"/>
    </xf>
    <xf numFmtId="0" fontId="1" fillId="8" borderId="13" xfId="0" applyFont="1" applyFill="1" applyBorder="1" applyAlignment="1">
      <alignment horizontal="left" vertical="center"/>
    </xf>
    <xf numFmtId="189" fontId="1" fillId="8" borderId="13" xfId="0" applyNumberFormat="1" applyFont="1" applyFill="1" applyBorder="1" applyAlignment="1">
      <alignment horizontal="left" vertical="center"/>
    </xf>
    <xf numFmtId="188" fontId="1" fillId="8" borderId="13" xfId="0" applyNumberFormat="1" applyFont="1" applyFill="1" applyBorder="1" applyAlignment="1">
      <alignment horizontal="left" vertical="center"/>
    </xf>
    <xf numFmtId="188" fontId="2" fillId="8" borderId="13" xfId="0" applyNumberFormat="1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46" xfId="0" applyFont="1" applyFill="1" applyBorder="1" applyAlignment="1">
      <alignment vertical="center"/>
    </xf>
    <xf numFmtId="0" fontId="2" fillId="3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9" fontId="2" fillId="3" borderId="19" xfId="0" applyNumberFormat="1" applyFont="1" applyFill="1" applyBorder="1" applyAlignment="1">
      <alignment horizontal="right" vertical="center"/>
    </xf>
    <xf numFmtId="189" fontId="2" fillId="3" borderId="26" xfId="0" applyNumberFormat="1" applyFont="1" applyFill="1" applyBorder="1" applyAlignment="1">
      <alignment horizontal="right" vertical="center"/>
    </xf>
    <xf numFmtId="188" fontId="2" fillId="3" borderId="28" xfId="0" applyNumberFormat="1" applyFont="1" applyFill="1" applyBorder="1" applyAlignment="1">
      <alignment horizontal="right" vertical="center" wrapText="1"/>
    </xf>
    <xf numFmtId="188" fontId="2" fillId="3" borderId="28" xfId="0" applyNumberFormat="1" applyFont="1" applyFill="1" applyBorder="1" applyAlignment="1">
      <alignment vertical="center"/>
    </xf>
    <xf numFmtId="189" fontId="2" fillId="2" borderId="1" xfId="0" applyNumberFormat="1" applyFont="1" applyFill="1" applyBorder="1" applyAlignment="1">
      <alignment horizontal="right" wrapText="1"/>
    </xf>
    <xf numFmtId="188" fontId="2" fillId="19" borderId="13" xfId="0" applyNumberFormat="1" applyFont="1" applyFill="1" applyBorder="1" applyAlignment="1">
      <alignment vertical="center"/>
    </xf>
    <xf numFmtId="189" fontId="2" fillId="3" borderId="20" xfId="0" applyNumberFormat="1" applyFont="1" applyFill="1" applyBorder="1" applyAlignment="1">
      <alignment horizontal="right" vertical="center"/>
    </xf>
    <xf numFmtId="188" fontId="2" fillId="3" borderId="28" xfId="0" applyNumberFormat="1" applyFont="1" applyFill="1" applyBorder="1" applyAlignment="1">
      <alignment horizontal="center" vertical="center"/>
    </xf>
    <xf numFmtId="189" fontId="1" fillId="3" borderId="13" xfId="0" applyNumberFormat="1" applyFont="1" applyFill="1" applyBorder="1" applyAlignment="1">
      <alignment horizontal="right" wrapText="1"/>
    </xf>
    <xf numFmtId="189" fontId="2" fillId="3" borderId="13" xfId="0" applyNumberFormat="1" applyFont="1" applyFill="1" applyBorder="1" applyAlignment="1">
      <alignment horizontal="right" wrapText="1"/>
    </xf>
    <xf numFmtId="189" fontId="1" fillId="23" borderId="13" xfId="0" applyNumberFormat="1" applyFont="1" applyFill="1" applyBorder="1" applyAlignment="1">
      <alignment horizontal="right" wrapText="1"/>
    </xf>
    <xf numFmtId="189" fontId="1" fillId="2" borderId="13" xfId="0" applyNumberFormat="1" applyFont="1" applyFill="1" applyBorder="1" applyAlignment="1">
      <alignment horizontal="right" wrapText="1"/>
    </xf>
    <xf numFmtId="189" fontId="2" fillId="2" borderId="13" xfId="0" applyNumberFormat="1" applyFont="1" applyFill="1" applyBorder="1" applyAlignment="1">
      <alignment horizontal="right" wrapText="1"/>
    </xf>
    <xf numFmtId="189" fontId="2" fillId="0" borderId="45" xfId="0" applyNumberFormat="1" applyFont="1" applyBorder="1" applyAlignment="1">
      <alignment horizontal="right" vertical="center" wrapText="1"/>
    </xf>
    <xf numFmtId="188" fontId="10" fillId="3" borderId="13" xfId="0" applyNumberFormat="1" applyFont="1" applyFill="1" applyBorder="1" applyAlignment="1">
      <alignment vertical="center"/>
    </xf>
    <xf numFmtId="188" fontId="10" fillId="19" borderId="13" xfId="0" applyNumberFormat="1" applyFont="1" applyFill="1" applyBorder="1" applyAlignment="1">
      <alignment vertical="center"/>
    </xf>
    <xf numFmtId="188" fontId="10" fillId="0" borderId="13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3" fillId="5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4" fontId="1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N1036"/>
  <sheetViews>
    <sheetView tabSelected="1" view="pageBreakPreview" zoomScaleNormal="100" zoomScaleSheetLayoutView="100" workbookViewId="0">
      <pane ySplit="5" topLeftCell="A6" activePane="bottomLeft" state="frozen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5" width="4.25" style="1" customWidth="1"/>
    <col min="6" max="6" width="6.7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1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ca="1">กาญจนบุรี!L6+จันทบุรี!L6+ฉะเชิงเทรา!L6+ชลบุรี!L6+ชัยนาท!L6+ตราด!L6+นครนายก!L6+นครปฐม!L6+ปทุมธานี!L6+ประจวบคีรีขันธ์!L6+ปราจีนบุรี!L6+พระนครศรีอยุธยา!L6+เพชรบุรี!L6+ระยอง!L6+ราชบุรี!L6+ลพบุรี!L6+สระแก้ว!L6+สระบุรี!L6+สิงห์บุรี!L6+สุพรรณบุรี!L6+อ่างทอง!L6</f>
        <v>33551830</v>
      </c>
      <c r="M6" s="16">
        <f>กาญจนบุรี!M6+จันทบุรี!M6+ฉะเชิงเทรา!M6+ชลบุรี!M6+ชัยนาท!M6+ตราด!M6+นครนายก!M6+นครปฐม!M6+ปทุมธานี!M6+ประจวบคีรีขันธ์!M6+ปราจีนบุรี!M6+พระนครศรีอยุธยา!M6+เพชรบุรี!M6+ระยอง!M6+ราชบุรี!M6+ลพบุรี!M6+สระแก้ว!M6+สระบุรี!M6+สิงห์บุรี!M6+สุพรรณบุรี!M6+อ่างทอง!M6</f>
        <v>1549520.7699999998</v>
      </c>
      <c r="N6" s="17">
        <f ca="1">IF(L6&gt;0,M6*100/L6,0)</f>
        <v>4.6182898816547402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ca="1">กาญจนบุรี!I9+จันทบุรี!I9+ฉะเชิงเทรา!I9+ชลบุรี!I9+ชัยนาท!I9+ตราด!I9+นครนายก!I9+นครปฐม!I9+ปทุมธานี!I9+ประจวบคีรีขันธ์!I9+ปราจีนบุรี!I9+พระนครศรีอยุธยา!I9+เพชรบุรี!I9+ระยอง!I9+ราชบุรี!I9+ลพบุรี!I9+สระแก้ว!I9+สระบุรี!I9+สิงห์บุรี!I9+สุพรรณบุรี!I9+อ่างทอง!I9</f>
        <v>8</v>
      </c>
      <c r="J9" s="38">
        <f>กาญจนบุรี!J9+จันทบุรี!J9+ฉะเชิงเทรา!J9+ชลบุรี!J9+ชัยนาท!J9+ตราด!J9+นครนายก!J9+นครปฐม!J9+ปทุมธานี!J9+ประจวบคีรีขันธ์!J9+ปราจีนบุรี!J9+พระนครศรีอยุธยา!J9+เพชรบุรี!J9+ระยอง!J9+ราชบุรี!J9+ลพบุรี!J9+สระแก้ว!J9+สระบุรี!J9+สิงห์บุรี!J9+สุพรรณบุรี!J9+อ่างทอง!J9</f>
        <v>0</v>
      </c>
      <c r="K9" s="39">
        <f t="shared" ref="K9:K10" ca="1" si="0">IF(I9&gt;0,J9*100/I9,0)</f>
        <v>0</v>
      </c>
      <c r="L9" s="40">
        <f ca="1">กาญจนบุรี!L9+จันทบุรี!L9+ฉะเชิงเทรา!L9+ชลบุรี!L9+ชัยนาท!L9+ตราด!L9+นครนายก!L9+นครปฐม!L9+ปทุมธานี!L9+ประจวบคีรีขันธ์!L9+ปราจีนบุรี!L9+พระนครศรีอยุธยา!L9+เพชรบุรี!L9+ระยอง!L9+ราชบุรี!L9+ลพบุรี!L9+สระแก้ว!L9+สระบุรี!L9+สิงห์บุรี!L9+สุพรรณบุรี!L9+อ่างทอง!L9</f>
        <v>5268100</v>
      </c>
      <c r="M9" s="40">
        <f>กาญจนบุรี!M9+จันทบุรี!M9+ฉะเชิงเทรา!M9+ชลบุรี!M9+ชัยนาท!M9+ตราด!M9+นครนายก!M9+นครปฐม!M9+ปทุมธานี!M9+ประจวบคีรีขันธ์!M9+ปราจีนบุรี!M9+พระนครศรีอยุธยา!M9+เพชรบุรี!M9+ระยอง!M9+ราชบุรี!M9+ลพบุรี!M9+สระแก้ว!M9+สระบุรี!M9+สิงห์บุรี!M9+สุพรรณบุรี!M9+อ่างทอง!M9</f>
        <v>208018</v>
      </c>
      <c r="N9" s="39">
        <f ca="1">IF(L9&gt;0,M9*100/L9,0)</f>
        <v>3.9486342324557242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ca="1">กาญจนบุรี!I10+จันทบุรี!I10+ฉะเชิงเทรา!I10+ชลบุรี!I10+ชัยนาท!I10+ตราด!I10+นครนายก!I10+นครปฐม!I10+ปทุมธานี!I10+ประจวบคีรีขันธ์!I10+ปราจีนบุรี!I10+พระนครศรีอยุธยา!I10+เพชรบุรี!I10+ระยอง!I10+ราชบุรี!I10+ลพบุรี!I10+สระแก้ว!I10+สระบุรี!I10+สิงห์บุรี!I10+สุพรรณบุรี!I10+อ่างทอง!I10</f>
        <v>440</v>
      </c>
      <c r="J10" s="38">
        <f>กาญจนบุรี!J10+จันทบุรี!J10+ฉะเชิงเทรา!J10+ชลบุรี!J10+ชัยนาท!J10+ตราด!J10+นครนายก!J10+นครปฐม!J10+ปทุมธานี!J10+ประจวบคีรีขันธ์!J10+ปราจีนบุรี!J10+พระนครศรีอยุธยา!J10+เพชรบุรี!J10+ระยอง!J10+ราชบุรี!J10+ลพบุรี!J10+สระแก้ว!J10+สระบุรี!J10+สิงห์บุรี!J10+สุพรรณบุรี!J10+อ่างทอง!J10</f>
        <v>0</v>
      </c>
      <c r="K10" s="39">
        <f t="shared" ca="1" si="0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f>กาญจนบุรี!L11+จันทบุรี!L11+ฉะเชิงเทรา!L11+ชลบุรี!L11+ชัยนาท!L11+ตราด!L11+นครนายก!L11+นครปฐม!L11+ปทุมธานี!L11+ประจวบคีรีขันธ์!L11+ปราจีนบุรี!L11+พระนครศรีอยุธยา!L11+เพชรบุรี!L11+ระยอง!L11+ราชบุรี!L11+ลพบุรี!L11+สระแก้ว!L11+สระบุรี!L11+สิงห์บุรี!L11+สุพรรณบุรี!L11+อ่างทอง!L11</f>
        <v>0</v>
      </c>
      <c r="M11" s="49">
        <f>กาญจนบุรี!M11+จันทบุรี!M11+ฉะเชิงเทรา!M11+ชลบุรี!M11+ชัยนาท!M11+ตราด!M11+นครนายก!M11+นครปฐม!M11+ปทุมธานี!M11+ประจวบคีรีขันธ์!M11+ปราจีนบุรี!M11+พระนครศรีอยุธยา!M11+เพชรบุรี!M11+ระยอง!M11+ราชบุรี!M11+ลพบุรี!M11+สระแก้ว!M11+สระบุรี!M11+สิงห์บุรี!M11+สุพรรณบุรี!M11+อ่างทอง!M11</f>
        <v>0</v>
      </c>
      <c r="N11" s="49">
        <f t="shared" ref="N11:N14" si="1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49">
        <f ca="1">กาญจนบุรี!L12+จันทบุรี!L12+ฉะเชิงเทรา!L12+ชลบุรี!L12+ชัยนาท!L12+ตราด!L12+นครนายก!L12+นครปฐม!L12+ปทุมธานี!L12+ประจวบคีรีขันธ์!L12+ปราจีนบุรี!L12+พระนครศรีอยุธยา!L12+เพชรบุรี!L12+ระยอง!L12+ราชบุรี!L12+ลพบุรี!L12+สระแก้ว!L12+สระบุรี!L12+สิงห์บุรี!L12+สุพรรณบุรี!L12+อ่างทอง!L12</f>
        <v>5268100</v>
      </c>
      <c r="M12" s="49">
        <f>กาญจนบุรี!M12+จันทบุรี!M12+ฉะเชิงเทรา!M12+ชลบุรี!M12+ชัยนาท!M12+ตราด!M12+นครนายก!M12+นครปฐม!M12+ปทุมธานี!M12+ประจวบคีรีขันธ์!M12+ปราจีนบุรี!M12+พระนครศรีอยุธยา!M12+เพชรบุรี!M12+ระยอง!M12+ราชบุรี!M12+ลพบุรี!M12+สระแก้ว!M12+สระบุรี!M12+สิงห์บุรี!M12+สุพรรณบุรี!M12+อ่างทอง!M12</f>
        <v>208018</v>
      </c>
      <c r="N12" s="49">
        <f t="shared" ca="1" si="1"/>
        <v>3.9486342324557242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กาญจนบุรี!L13+จันทบุรี!L13+ฉะเชิงเทรา!L13+ชลบุรี!L13+ชัยนาท!L13+ตราด!L13+นครนายก!L13+นครปฐม!L13+ปทุมธานี!L13+ประจวบคีรีขันธ์!L13+ปราจีนบุรี!L13+พระนครศรีอยุธยา!L13+เพชรบุรี!L13+ระยอง!L13+ราชบุรี!L13+ลพบุรี!L13+สระแก้ว!L13+สระบุรี!L13+สิงห์บุรี!L13+สุพรรณบุรี!L13+อ่างทอง!L13</f>
        <v>1378100</v>
      </c>
      <c r="M13" s="53">
        <f>กาญจนบุรี!M13+จันทบุรี!M13+ฉะเชิงเทรา!M13+ชลบุรี!M13+ชัยนาท!M13+ตราด!M13+นครนายก!M13+นครปฐม!M13+ปทุมธานี!M13+ประจวบคีรีขันธ์!M13+ปราจีนบุรี!M13+พระนครศรีอยุธยา!M13+เพชรบุรี!M13+ระยอง!M13+ราชบุรี!M13+ลพบุรี!M13+สระแก้ว!M13+สระบุรี!M13+สิงห์บุรี!M13+สุพรรณบุรี!M13+อ่างทอง!M13</f>
        <v>68000</v>
      </c>
      <c r="N13" s="52">
        <f t="shared" ca="1" si="1"/>
        <v>4.9343298744648427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กาญจนบุรี!L14+จันทบุรี!L14+ฉะเชิงเทรา!L14+ชลบุรี!L14+ชัยนาท!L14+ตราด!L14+นครนายก!L14+นครปฐม!L14+ปทุมธานี!L14+ประจวบคีรีขันธ์!L14+ปราจีนบุรี!L14+พระนครศรีอยุธยา!L14+เพชรบุรี!L14+ระยอง!L14+ราชบุรี!L14+ลพบุรี!L14+สระแก้ว!L14+สระบุรี!L14+สิงห์บุรี!L14+สุพรรณบุรี!L14+อ่างทอง!L14</f>
        <v>3890000</v>
      </c>
      <c r="M14" s="53">
        <f>กาญจนบุรี!M14+จันทบุรี!M14+ฉะเชิงเทรา!M14+ชลบุรี!M14+ชัยนาท!M14+ตราด!M14+นครนายก!M14+นครปฐม!M14+ปทุมธานี!M14+ประจวบคีรีขันธ์!M14+ปราจีนบุรี!M14+พระนครศรีอยุธยา!M14+เพชรบุรี!M14+ระยอง!M14+ราชบุรี!M14+ลพบุรี!M14+สระแก้ว!M14+สระบุรี!M14+สิงห์บุรี!M14+สุพรรณบุรี!M14+อ่างทอง!M14</f>
        <v>140018</v>
      </c>
      <c r="N14" s="52">
        <f t="shared" ca="1" si="1"/>
        <v>3.5994344473007711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f>กาญจนบุรี!J16+จันทบุรี!J16+ฉะเชิงเทรา!J16+ชลบุรี!J16+ชัยนาท!J16+ตราด!J16+นครนายก!J16+นครปฐม!J16+ปทุมธานี!J16+ประจวบคีรีขันธ์!J16+ปราจีนบุรี!J16+พระนครศรีอยุธยา!J16+เพชรบุรี!J16+ระยอง!J16+ราชบุรี!J16+ลพบุรี!J16+สระแก้ว!J16+สระบุรี!J16+สิงห์บุรี!J16+สุพรรณบุรี!J16+อ่างทอง!J16</f>
        <v>1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f>กาญจนบุรี!J17+จันทบุรี!J17+ฉะเชิงเทรา!J17+ชลบุรี!J17+ชัยนาท!J17+ตราด!J17+นครนายก!J17+นครปฐม!J17+ปทุมธานี!J17+ประจวบคีรีขันธ์!J17+ปราจีนบุรี!J17+พระนครศรีอยุธยา!J17+เพชรบุรี!J17+ระยอง!J17+ราชบุรี!J17+ลพบุรี!J17+สระแก้ว!J17+สระบุรี!J17+สิงห์บุรี!J17+สุพรรณบุรี!J17+อ่างทอง!J17</f>
        <v>2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f>กาญจนบุรี!J18+จันทบุรี!J18+ฉะเชิงเทรา!J18+ชลบุรี!J18+ชัยนาท!J18+ตราด!J18+นครนายก!J18+นครปฐม!J18+ปทุมธานี!J18+ประจวบคีรีขันธ์!J18+ปราจีนบุรี!J18+พระนครศรีอยุธยา!J18+เพชรบุรี!J18+ระยอง!J18+ราชบุรี!J18+ลพบุรี!J18+สระแก้ว!J18+สระบุรี!J18+สิงห์บุรี!J18+สุพรรณบุรี!J18+อ่างทอง!J18</f>
        <v>3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f>กาญจนบุรี!J19+จันทบุรี!J19+ฉะเชิงเทรา!J19+ชลบุรี!J19+ชัยนาท!J19+ตราด!J19+นครนายก!J19+นครปฐม!J19+ปทุมธานี!J19+ประจวบคีรีขันธ์!J19+ปราจีนบุรี!J19+พระนครศรีอยุธยา!J19+เพชรบุรี!J19+ระยอง!J19+ราชบุรี!J19+ลพบุรี!J19+สระแก้ว!J19+สระบุรี!J19+สิงห์บุรี!J19+สุพรรณบุรี!J19+อ่างทอง!J19</f>
        <v>3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ca="1">กาญจนบุรี!I20+จันทบุรี!I20+ฉะเชิงเทรา!I20+ชลบุรี!I20+ชัยนาท!I20+ตราด!I20+นครนายก!I20+นครปฐม!I20+ปทุมธานี!I20+ประจวบคีรีขันธ์!I20+ปราจีนบุรี!I20+พระนครศรีอยุธยา!I20+เพชรบุรี!I20+ระยอง!I20+ราชบุรี!I20+ลพบุรี!I20+สระแก้ว!I20+สระบุรี!I20+สิงห์บุรี!I20+สุพรรณบุรี!I20+อ่างทอง!I20</f>
        <v>8</v>
      </c>
      <c r="J20" s="78">
        <f>กาญจนบุรี!J20+จันทบุรี!J20+ฉะเชิงเทรา!J20+ชลบุรี!J20+ชัยนาท!J20+ตราด!J20+นครนายก!J20+นครปฐม!J20+ปทุมธานี!J20+ประจวบคีรีขันธ์!J20+ปราจีนบุรี!J20+พระนครศรีอยุธยา!J20+เพชรบุรี!J20+ระยอง!J20+ราชบุรี!J20+ลพบุรี!J20+สระแก้ว!J20+สระบุรี!J20+สิงห์บุรี!J20+สุพรรณบุรี!J20+อ่างทอง!J20</f>
        <v>0</v>
      </c>
      <c r="K20" s="79">
        <f t="shared" ref="K20:K28" ca="1" si="2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ca="1">กาญจนบุรี!I21+จันทบุรี!I21+ฉะเชิงเทรา!I21+ชลบุรี!I21+ชัยนาท!I21+ตราด!I21+นครนายก!I21+นครปฐม!I21+ปทุมธานี!I21+ประจวบคีรีขันธ์!I21+ปราจีนบุรี!I21+พระนครศรีอยุธยา!I21+เพชรบุรี!I21+ระยอง!I21+ราชบุรี!I21+ลพบุรี!I21+สระแก้ว!I21+สระบุรี!I21+สิงห์บุรี!I21+สุพรรณบุรี!I21+อ่างทอง!I21</f>
        <v>440</v>
      </c>
      <c r="J21" s="78">
        <f>กาญจนบุรี!J21+จันทบุรี!J21+ฉะเชิงเทรา!J21+ชลบุรี!J21+ชัยนาท!J21+ตราด!J21+นครนายก!J21+นครปฐม!J21+ปทุมธานี!J21+ประจวบคีรีขันธ์!J21+ปราจีนบุรี!J21+พระนครศรีอยุธยา!J21+เพชรบุรี!J21+ระยอง!J21+ราชบุรี!J21+ลพบุรี!J21+สระแก้ว!J21+สระบุรี!J21+สิงห์บุรี!J21+สุพรรณบุรี!J21+อ่างทอง!J21</f>
        <v>0</v>
      </c>
      <c r="K21" s="79">
        <f t="shared" ca="1" si="2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กาญจนบุรี!I22+จันทบุรี!I22+ฉะเชิงเทรา!I22+ชลบุรี!I22+ชัยนาท!I22+ตราด!I22+นครนายก!I22+นครปฐม!I22+ปทุมธานี!I22+ประจวบคีรีขันธ์!I22+ปราจีนบุรี!I22+พระนครศรีอยุธยา!I22+เพชรบุรี!I22+ระยอง!I22+ราชบุรี!I22+ลพบุรี!I22+สระแก้ว!I22+สระบุรี!I22+สิงห์บุรี!I22+สุพรรณบุรี!I22+อ่างทอง!I22</f>
        <v>2</v>
      </c>
      <c r="J22" s="67">
        <f>กาญจนบุรี!J22+จันทบุรี!J22+ฉะเชิงเทรา!J22+ชลบุรี!J22+ชัยนาท!J22+ตราด!J22+นครนายก!J22+นครปฐม!J22+ปทุมธานี!J22+ประจวบคีรีขันธ์!J22+ปราจีนบุรี!J22+พระนครศรีอยุธยา!J22+เพชรบุรี!J22+ระยอง!J22+ราชบุรี!J22+ลพบุรี!J22+สระแก้ว!J22+สระบุรี!J22+สิงห์บุรี!J22+สุพรรณบุรี!J22+อ่างทอง!J22</f>
        <v>0</v>
      </c>
      <c r="K22" s="48">
        <f t="shared" ca="1" si="2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กาญจนบุรี!I23+จันทบุรี!I23+ฉะเชิงเทรา!I23+ชลบุรี!I23+ชัยนาท!I23+ตราด!I23+นครนายก!I23+นครปฐม!I23+ปทุมธานี!I23+ประจวบคีรีขันธ์!I23+ปราจีนบุรี!I23+พระนครศรีอยุธยา!I23+เพชรบุรี!I23+ระยอง!I23+ราชบุรี!I23+ลพบุรี!I23+สระแก้ว!I23+สระบุรี!I23+สิงห์บุรี!I23+สุพรรณบุรี!I23+อ่างทอง!I23</f>
        <v>150</v>
      </c>
      <c r="J23" s="67">
        <f>กาญจนบุรี!J23+จันทบุรี!J23+ฉะเชิงเทรา!J23+ชลบุรี!J23+ชัยนาท!J23+ตราด!J23+นครนายก!J23+นครปฐม!J23+ปทุมธานี!J23+ประจวบคีรีขันธ์!J23+ปราจีนบุรี!J23+พระนครศรีอยุธยา!J23+เพชรบุรี!J23+ระยอง!J23+ราชบุรี!J23+ลพบุรี!J23+สระแก้ว!J23+สระบุรี!J23+สิงห์บุรี!J23+สุพรรณบุรี!J23+อ่างทอง!J23</f>
        <v>0</v>
      </c>
      <c r="K23" s="48">
        <f t="shared" ca="1" si="2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กาญจนบุรี!I24+จันทบุรี!I24+ฉะเชิงเทรา!I24+ชลบุรี!I24+ชัยนาท!I24+ตราด!I24+นครนายก!I24+นครปฐม!I24+ปทุมธานี!I24+ประจวบคีรีขันธ์!I24+ปราจีนบุรี!I24+พระนครศรีอยุธยา!I24+เพชรบุรี!I24+ระยอง!I24+ราชบุรี!I24+ลพบุรี!I24+สระแก้ว!I24+สระบุรี!I24+สิงห์บุรี!I24+สุพรรณบุรี!I24+อ่างทอง!I24</f>
        <v>2</v>
      </c>
      <c r="J24" s="67">
        <f>กาญจนบุรี!J24+จันทบุรี!J24+ฉะเชิงเทรา!J24+ชลบุรี!J24+ชัยนาท!J24+ตราด!J24+นครนายก!J24+นครปฐม!J24+ปทุมธานี!J24+ประจวบคีรีขันธ์!J24+ปราจีนบุรี!J24+พระนครศรีอยุธยา!J24+เพชรบุรี!J24+ระยอง!J24+ราชบุรี!J24+ลพบุรี!J24+สระแก้ว!J24+สระบุรี!J24+สิงห์บุรี!J24+สุพรรณบุรี!J24+อ่างทอง!J24</f>
        <v>0</v>
      </c>
      <c r="K24" s="48">
        <f t="shared" ca="1" si="2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กาญจนบุรี!I25+จันทบุรี!I25+ฉะเชิงเทรา!I25+ชลบุรี!I25+ชัยนาท!I25+ตราด!I25+นครนายก!I25+นครปฐม!I25+ปทุมธานี!I25+ประจวบคีรีขันธ์!I25+ปราจีนบุรี!I25+พระนครศรีอยุธยา!I25+เพชรบุรี!I25+ระยอง!I25+ราชบุรี!I25+ลพบุรี!I25+สระแก้ว!I25+สระบุรี!I25+สิงห์บุรี!I25+สุพรรณบุรี!I25+อ่างทอง!I25</f>
        <v>130</v>
      </c>
      <c r="J25" s="67">
        <f>กาญจนบุรี!J25+จันทบุรี!J25+ฉะเชิงเทรา!J25+ชลบุรี!J25+ชัยนาท!J25+ตราด!J25+นครนายก!J25+นครปฐม!J25+ปทุมธานี!J25+ประจวบคีรีขันธ์!J25+ปราจีนบุรี!J25+พระนครศรีอยุธยา!J25+เพชรบุรี!J25+ระยอง!J25+ราชบุรี!J25+ลพบุรี!J25+สระแก้ว!J25+สระบุรี!J25+สิงห์บุรี!J25+สุพรรณบุรี!J25+อ่างทอง!J25</f>
        <v>0</v>
      </c>
      <c r="K25" s="48">
        <f t="shared" ca="1" si="2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กาญจนบุรี!I26+จันทบุรี!I26+ฉะเชิงเทรา!I26+ชลบุรี!I26+ชัยนาท!I26+ตราด!I26+นครนายก!I26+นครปฐม!I26+ปทุมธานี!I26+ประจวบคีรีขันธ์!I26+ปราจีนบุรี!I26+พระนครศรีอยุธยา!I26+เพชรบุรี!I26+ระยอง!I26+ราชบุรี!I26+ลพบุรี!I26+สระแก้ว!I26+สระบุรี!I26+สิงห์บุรี!I26+สุพรรณบุรี!I26+อ่างทอง!I26</f>
        <v>4</v>
      </c>
      <c r="J26" s="67">
        <f>กาญจนบุรี!J26+จันทบุรี!J26+ฉะเชิงเทรา!J26+ชลบุรี!J26+ชัยนาท!J26+ตราด!J26+นครนายก!J26+นครปฐม!J26+ปทุมธานี!J26+ประจวบคีรีขันธ์!J26+ปราจีนบุรี!J26+พระนครศรีอยุธยา!J26+เพชรบุรี!J26+ระยอง!J26+ราชบุรี!J26+ลพบุรี!J26+สระแก้ว!J26+สระบุรี!J26+สิงห์บุรี!J26+สุพรรณบุรี!J26+อ่างทอง!J26</f>
        <v>0</v>
      </c>
      <c r="K26" s="48">
        <f t="shared" ca="1" si="2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กาญจนบุรี!I27+จันทบุรี!I27+ฉะเชิงเทรา!I27+ชลบุรี!I27+ชัยนาท!I27+ตราด!I27+นครนายก!I27+นครปฐม!I27+ปทุมธานี!I27+ประจวบคีรีขันธ์!I27+ปราจีนบุรี!I27+พระนครศรีอยุธยา!I27+เพชรบุรี!I27+ระยอง!I27+ราชบุรี!I27+ลพบุรี!I27+สระแก้ว!I27+สระบุรี!I27+สิงห์บุรี!I27+สุพรรณบุรี!I27+อ่างทอง!I27</f>
        <v>160</v>
      </c>
      <c r="J27" s="67">
        <f>กาญจนบุรี!J27+จันทบุรี!J27+ฉะเชิงเทรา!J27+ชลบุรี!J27+ชัยนาท!J27+ตราด!J27+นครนายก!J27+นครปฐม!J27+ปทุมธานี!J27+ประจวบคีรีขันธ์!J27+ปราจีนบุรี!J27+พระนครศรีอยุธยา!J27+เพชรบุรี!J27+ระยอง!J27+ราชบุรี!J27+ลพบุรี!J27+สระแก้ว!J27+สระบุรี!J27+สิงห์บุรี!J27+สุพรรณบุรี!J27+อ่างทอง!J27</f>
        <v>0</v>
      </c>
      <c r="K27" s="48">
        <f t="shared" ca="1" si="2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กาญจนบุรี!I28+จันทบุรี!I28+ฉะเชิงเทรา!I28+ชลบุรี!I28+ชัยนาท!I28+ตราด!I28+นครนายก!I28+นครปฐม!I28+ปทุมธานี!I28+ประจวบคีรีขันธ์!I28+ปราจีนบุรี!I28+พระนครศรีอยุธยา!I28+เพชรบุรี!I28+ระยอง!I28+ราชบุรี!I28+ลพบุรี!I28+สระแก้ว!I28+สระบุรี!I28+สิงห์บุรี!I28+สุพรรณบุรี!I28+อ่างทอง!I28</f>
        <v>150</v>
      </c>
      <c r="J28" s="67">
        <f>กาญจนบุรี!J28+จันทบุรี!J28+ฉะเชิงเทรา!J28+ชลบุรี!J28+ชัยนาท!J28+ตราด!J28+นครนายก!J28+นครปฐม!J28+ปทุมธานี!J28+ประจวบคีรีขันธ์!J28+ปราจีนบุรี!J28+พระนครศรีอยุธยา!J28+เพชรบุรี!J28+ระยอง!J28+ราชบุรี!J28+ลพบุรี!J28+สระแก้ว!J28+สระบุรี!J28+สิงห์บุรี!J28+สุพรรณบุรี!J28+อ่างทอง!J28</f>
        <v>0</v>
      </c>
      <c r="K28" s="48">
        <f t="shared" ca="1" si="2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f>กาญจนบุรี!J29+จันทบุรี!J29+ฉะเชิงเทรา!J29+ชลบุรี!J29+ชัยนาท!J29+ตราด!J29+นครนายก!J29+นครปฐม!J29+ปทุมธานี!J29+ประจวบคีรีขันธ์!J29+ปราจีนบุรี!J29+พระนครศรีอยุธยา!J29+เพชรบุรี!J29+ระยอง!J29+ราชบุรี!J29+ลพบุรี!J29+สระแก้ว!J29+สระบุรี!J29+สิงห์บุรี!J29+สุพรรณบุรี!J29+อ่างทอง!J29</f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f>กาญจนบุรี!J30+จันทบุรี!J30+ฉะเชิงเทรา!J30+ชลบุรี!J30+ชัยนาท!J30+ตราด!J30+นครนายก!J30+นครปฐม!J30+ปทุมธานี!J30+ประจวบคีรีขันธ์!J30+ปราจีนบุรี!J30+พระนครศรีอยุธยา!J30+เพชรบุรี!J30+ระยอง!J30+ราชบุรี!J30+ลพบุรี!J30+สระแก้ว!J30+สระบุรี!J30+สิงห์บุรี!J30+สุพรรณบุรี!J30+อ่างทอง!J30</f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ca="1">กาญจนบุรี!I32+จันทบุรี!I32+ฉะเชิงเทรา!I32+ชลบุรี!I32+ชัยนาท!I32+ตราด!I32+นครนายก!I32+นครปฐม!I32+ปทุมธานี!I32+ประจวบคีรีขันธ์!I32+ปราจีนบุรี!I32+พระนครศรีอยุธยา!I32+เพชรบุรี!I32+ระยอง!I32+ราชบุรี!I32+ลพบุรี!I32+สระแก้ว!I32+สระบุรี!I32+สิงห์บุรี!I32+สุพรรณบุรี!I32+อ่างทอง!I32</f>
        <v>29</v>
      </c>
      <c r="J32" s="38">
        <f>กาญจนบุรี!J32+จันทบุรี!J32+ฉะเชิงเทรา!J32+ชลบุรี!J32+ชัยนาท!J32+ตราด!J32+นครนายก!J32+นครปฐม!J32+ปทุมธานี!J32+ประจวบคีรีขันธ์!J32+ปราจีนบุรี!J32+พระนครศรีอยุธยา!J32+เพชรบุรี!J32+ระยอง!J32+ราชบุรี!J32+ลพบุรี!J32+สระแก้ว!J32+สระบุรี!J32+สิงห์บุรี!J32+สุพรรณบุรี!J32+อ่างทอง!J32</f>
        <v>0</v>
      </c>
      <c r="K32" s="39">
        <f t="shared" ref="K32:K33" ca="1" si="3">IF(I32&gt;0,J32*100/I32,0)</f>
        <v>0</v>
      </c>
      <c r="L32" s="96">
        <f ca="1">กาญจนบุรี!L32+จันทบุรี!L32+ฉะเชิงเทรา!L32+ชลบุรี!L32+ชัยนาท!L32+ตราด!L32+นครนายก!L32+นครปฐม!L32+ปทุมธานี!L32+ประจวบคีรีขันธ์!L32+ปราจีนบุรี!L32+พระนครศรีอยุธยา!L32+เพชรบุรี!L32+ระยอง!L32+ราชบุรี!L32+ลพบุรี!L32+สระแก้ว!L32+สระบุรี!L32+สิงห์บุรี!L32+สุพรรณบุรี!L32+อ่างทอง!L32</f>
        <v>754540</v>
      </c>
      <c r="M32" s="96">
        <f>กาญจนบุรี!M32+จันทบุรี!M32+ฉะเชิงเทรา!M32+ชลบุรี!M32+ชัยนาท!M32+ตราด!M32+นครนายก!M32+นครปฐม!M32+ปทุมธานี!M32+ประจวบคีรีขันธ์!M32+ปราจีนบุรี!M32+พระนครศรีอยุธยา!M32+เพชรบุรี!M32+ระยอง!M32+ราชบุรี!M32+ลพบุรี!M32+สระแก้ว!M32+สระบุรี!M32+สิงห์บุรี!M32+สุพรรณบุรี!M32+อ่างทอง!M32</f>
        <v>43150</v>
      </c>
      <c r="N32" s="39">
        <f ca="1">IF(L32&gt;0,M32*100/L32,0)</f>
        <v>5.7187160389111247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กาญจนบุรี!I33+จันทบุรี!I33+ฉะเชิงเทรา!I33+ชลบุรี!I33+ชัยนาท!I33+ตราด!I33+นครนายก!I33+นครปฐม!I33+ปทุมธานี!I33+ประจวบคีรีขันธ์!I33+ปราจีนบุรี!I33+พระนครศรีอยุธยา!I33+เพชรบุรี!I33+ระยอง!I33+ราชบุรี!I33+ลพบุรี!I33+สระแก้ว!I33+สระบุรี!I33+สิงห์บุรี!I33+สุพรรณบุรี!I33+อ่างทอง!I33</f>
        <v>8</v>
      </c>
      <c r="J33" s="38">
        <f>กาญจนบุรี!J33+จันทบุรี!J33+ฉะเชิงเทรา!J33+ชลบุรี!J33+ชัยนาท!J33+ตราด!J33+นครนายก!J33+นครปฐม!J33+ปทุมธานี!J33+ประจวบคีรีขันธ์!J33+ปราจีนบุรี!J33+พระนครศรีอยุธยา!J33+เพชรบุรี!J33+ระยอง!J33+ราชบุรี!J33+ลพบุรี!J33+สระแก้ว!J33+สระบุรี!J33+สิงห์บุรี!J33+สุพรรณบุรี!J33+อ่างทอง!J33</f>
        <v>0</v>
      </c>
      <c r="K33" s="39">
        <f t="shared" ca="1" si="3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49">
        <f>กาญจนบุรี!L34+จันทบุรี!L34+ฉะเชิงเทรา!L34+ชลบุรี!L34+ชัยนาท!L34+ตราด!L34+นครนายก!L34+นครปฐม!L34+ปทุมธานี!L34+ประจวบคีรีขันธ์!L34+ปราจีนบุรี!L34+พระนครศรีอยุธยา!L34+เพชรบุรี!L34+ระยอง!L34+ราชบุรี!L34+ลพบุรี!L34+สระแก้ว!L34+สระบุรี!L34+สิงห์บุรี!L34+สุพรรณบุรี!L34+อ่างทอง!L34</f>
        <v>0</v>
      </c>
      <c r="M34" s="49">
        <f>กาญจนบุรี!M34+จันทบุรี!M34+ฉะเชิงเทรา!M34+ชลบุรี!M34+ชัยนาท!M34+ตราด!M34+นครนายก!M34+นครปฐม!M34+ปทุมธานี!M34+ประจวบคีรีขันธ์!M34+ปราจีนบุรี!M34+พระนครศรีอยุธยา!M34+เพชรบุรี!M34+ระยอง!M34+ราชบุรี!M34+ลพบุรี!M34+สระแก้ว!M34+สระบุรี!M34+สิงห์บุรี!M34+สุพรรณบุรี!M34+อ่างทอง!M34</f>
        <v>0</v>
      </c>
      <c r="N34" s="49">
        <f t="shared" ref="N34:N37" si="4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49">
        <f ca="1">กาญจนบุรี!L35+จันทบุรี!L35+ฉะเชิงเทรา!L35+ชลบุรี!L35+ชัยนาท!L35+ตราด!L35+นครนายก!L35+นครปฐม!L35+ปทุมธานี!L35+ประจวบคีรีขันธ์!L35+ปราจีนบุรี!L35+พระนครศรีอยุธยา!L35+เพชรบุรี!L35+ระยอง!L35+ราชบุรี!L35+ลพบุรี!L35+สระแก้ว!L35+สระบุรี!L35+สิงห์บุรี!L35+สุพรรณบุรี!L35+อ่างทอง!L35</f>
        <v>754540</v>
      </c>
      <c r="M35" s="49">
        <f>กาญจนบุรี!M35+จันทบุรี!M35+ฉะเชิงเทรา!M35+ชลบุรี!M35+ชัยนาท!M35+ตราด!M35+นครนายก!M35+นครปฐม!M35+ปทุมธานี!M35+ประจวบคีรีขันธ์!M35+ปราจีนบุรี!M35+พระนครศรีอยุธยา!M35+เพชรบุรี!M35+ระยอง!M35+ราชบุรี!M35+ลพบุรี!M35+สระแก้ว!M35+สระบุรี!M35+สิงห์บุรี!M35+สุพรรณบุรี!M35+อ่างทอง!M35</f>
        <v>43150</v>
      </c>
      <c r="N35" s="49">
        <f t="shared" ca="1" si="4"/>
        <v>5.7187160389111247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กาญจนบุรี!L36+จันทบุรี!L36+ฉะเชิงเทรา!L36+ชลบุรี!L36+ชัยนาท!L36+ตราด!L36+นครนายก!L36+นครปฐม!L36+ปทุมธานี!L36+ประจวบคีรีขันธ์!L36+ปราจีนบุรี!L36+พระนครศรีอยุธยา!L36+เพชรบุรี!L36+ระยอง!L36+ราชบุรี!L36+ลพบุรี!L36+สระแก้ว!L36+สระบุรี!L36+สิงห์บุรี!L36+สุพรรณบุรี!L36+อ่างทอง!L36</f>
        <v>0</v>
      </c>
      <c r="M36" s="52">
        <f>กาญจนบุรี!M36+จันทบุรี!M36+ฉะเชิงเทรา!M36+ชลบุรี!M36+ชัยนาท!M36+ตราด!M36+นครนายก!M36+นครปฐม!M36+ปทุมธานี!M36+ประจวบคีรีขันธ์!M36+ปราจีนบุรี!M36+พระนครศรีอยุธยา!M36+เพชรบุรี!M36+ระยอง!M36+ราชบุรี!M36+ลพบุรี!M36+สระแก้ว!M36+สระบุรี!M36+สิงห์บุรี!M36+สุพรรณบุรี!M36+อ่างทอง!M36</f>
        <v>0</v>
      </c>
      <c r="N36" s="52">
        <f t="shared" ca="1" si="4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กาญจนบุรี!L37+จันทบุรี!L37+ฉะเชิงเทรา!L37+ชลบุรี!L37+ชัยนาท!L37+ตราด!L37+นครนายก!L37+นครปฐม!L37+ปทุมธานี!L37+ประจวบคีรีขันธ์!L37+ปราจีนบุรี!L37+พระนครศรีอยุธยา!L37+เพชรบุรี!L37+ระยอง!L37+ราชบุรี!L37+ลพบุรี!L37+สระแก้ว!L37+สระบุรี!L37+สิงห์บุรี!L37+สุพรรณบุรี!L37+อ่างทอง!L37</f>
        <v>754540</v>
      </c>
      <c r="M37" s="53">
        <f>กาญจนบุรี!M37+จันทบุรี!M37+ฉะเชิงเทรา!M37+ชลบุรี!M37+ชัยนาท!M37+ตราด!M37+นครนายก!M37+นครปฐม!M37+ปทุมธานี!M37+ประจวบคีรีขันธ์!M37+ปราจีนบุรี!M37+พระนครศรีอยุธยา!M37+เพชรบุรี!M37+ระยอง!M37+ราชบุรี!M37+ลพบุรี!M37+สระแก้ว!M37+สระบุรี!M37+สิงห์บุรี!M37+สุพรรณบุรี!M37+อ่างทอง!M37</f>
        <v>43150</v>
      </c>
      <c r="N37" s="52">
        <f t="shared" ca="1" si="4"/>
        <v>5.7187160389111247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f>กาญจนบุรี!J39+จันทบุรี!J39+ฉะเชิงเทรา!J39+ชลบุรี!J39+ชัยนาท!J39+ตราด!J39+นครนายก!J39+นครปฐม!J39+ปทุมธานี!J39+ประจวบคีรีขันธ์!J39+ปราจีนบุรี!J39+พระนครศรีอยุธยา!J39+เพชรบุรี!J39+ระยอง!J39+ราชบุรี!J39+ลพบุรี!J39+สระแก้ว!J39+สระบุรี!J39+สิงห์บุรี!J39+สุพรรณบุรี!J39+อ่างทอง!J39</f>
        <v>3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f>กาญจนบุรี!J40+จันทบุรี!J40+ฉะเชิงเทรา!J40+ชลบุรี!J40+ชัยนาท!J40+ตราด!J40+นครนายก!J40+นครปฐม!J40+ปทุมธานี!J40+ประจวบคีรีขันธ์!J40+ปราจีนบุรี!J40+พระนครศรีอยุธยา!J40+เพชรบุรี!J40+ระยอง!J40+ราชบุรี!J40+ลพบุรี!J40+สระแก้ว!J40+สระบุรี!J40+สิงห์บุรี!J40+สุพรรณบุรี!J40+อ่างทอง!J40</f>
        <v>3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f>กาญจนบุรี!J41+จันทบุรี!J41+ฉะเชิงเทรา!J41+ชลบุรี!J41+ชัยนาท!J41+ตราด!J41+นครนายก!J41+นครปฐม!J41+ปทุมธานี!J41+ประจวบคีรีขันธ์!J41+ปราจีนบุรี!J41+พระนครศรีอยุธยา!J41+เพชรบุรี!J41+ระยอง!J41+ราชบุรี!J41+ลพบุรี!J41+สระแก้ว!J41+สระบุรี!J41+สิงห์บุรี!J41+สุพรรณบุรี!J41+อ่างทอง!J41</f>
        <v>3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f>กาญจนบุรี!J42+จันทบุรี!J42+ฉะเชิงเทรา!J42+ชลบุรี!J42+ชัยนาท!J42+ตราด!J42+นครนายก!J42+นครปฐม!J42+ปทุมธานี!J42+ประจวบคีรีขันธ์!J42+ปราจีนบุรี!J42+พระนครศรีอยุธยา!J42+เพชรบุรี!J42+ระยอง!J42+ราชบุรี!J42+ลพบุรี!J42+สระแก้ว!J42+สระบุรี!J42+สิงห์บุรี!J42+สุพรรณบุรี!J42+อ่างทอง!J42</f>
        <v>2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66">
        <f ca="1">กาญจนบุรี!I43+จันทบุรี!I43+ฉะเชิงเทรา!I43+ชลบุรี!I43+ชัยนาท!I43+ตราด!I43+นครนายก!I43+นครปฐม!I43+ปทุมธานี!I43+ประจวบคีรีขันธ์!I43+ปราจีนบุรี!I43+พระนครศรีอยุธยา!I43+เพชรบุรี!I43+ระยอง!I43+ราชบุรี!I43+ลพบุรี!I43+สระแก้ว!I43+สระบุรี!I43+สิงห์บุรี!I43+สุพรรณบุรี!I43+อ่างทอง!I43</f>
        <v>6</v>
      </c>
      <c r="J43" s="67">
        <f>กาญจนบุรี!J43+จันทบุรี!J43+ฉะเชิงเทรา!J43+ชลบุรี!J43+ชัยนาท!J43+ตราด!J43+นครนายก!J43+นครปฐม!J43+ปทุมธานี!J43+ประจวบคีรีขันธ์!J43+ปราจีนบุรี!J43+พระนครศรีอยุธยา!J43+เพชรบุรี!J43+ระยอง!J43+ราชบุรี!J43+ลพบุรี!J43+สระแก้ว!J43+สระบุรี!J43+สิงห์บุรี!J43+สุพรรณบุรี!J43+อ่างทอง!J43</f>
        <v>0</v>
      </c>
      <c r="K43" s="48">
        <f t="shared" ref="K43:K48" ca="1" si="5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66">
        <f ca="1">กาญจนบุรี!I44+จันทบุรี!I44+ฉะเชิงเทรา!I44+ชลบุรี!I44+ชัยนาท!I44+ตราด!I44+นครนายก!I44+นครปฐม!I44+ปทุมธานี!I44+ประจวบคีรีขันธ์!I44+ปราจีนบุรี!I44+พระนครศรีอยุธยา!I44+เพชรบุรี!I44+ระยอง!I44+ราชบุรี!I44+ลพบุรี!I44+สระแก้ว!I44+สระบุรี!I44+สิงห์บุรี!I44+สุพรรณบุรี!I44+อ่างทอง!I44</f>
        <v>29</v>
      </c>
      <c r="J44" s="67">
        <f>กาญจนบุรี!J44+จันทบุรี!J44+ฉะเชิงเทรา!J44+ชลบุรี!J44+ชัยนาท!J44+ตราด!J44+นครนายก!J44+นครปฐม!J44+ปทุมธานี!J44+ประจวบคีรีขันธ์!J44+ปราจีนบุรี!J44+พระนครศรีอยุธยา!J44+เพชรบุรี!J44+ระยอง!J44+ราชบุรี!J44+ลพบุรี!J44+สระแก้ว!J44+สระบุรี!J44+สิงห์บุรี!J44+สุพรรณบุรี!J44+อ่างทอง!J44</f>
        <v>0</v>
      </c>
      <c r="K44" s="48">
        <f t="shared" ca="1" si="5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66">
        <f ca="1">กาญจนบุรี!I45+จันทบุรี!I45+ฉะเชิงเทรา!I45+ชลบุรี!I45+ชัยนาท!I45+ตราด!I45+นครนายก!I45+นครปฐม!I45+ปทุมธานี!I45+ประจวบคีรีขันธ์!I45+ปราจีนบุรี!I45+พระนครศรีอยุธยา!I45+เพชรบุรี!I45+ระยอง!I45+ราชบุรี!I45+ลพบุรี!I45+สระแก้ว!I45+สระบุรี!I45+สิงห์บุรี!I45+สุพรรณบุรี!I45+อ่างทอง!I45</f>
        <v>29</v>
      </c>
      <c r="J45" s="67">
        <f>กาญจนบุรี!J45+จันทบุรี!J45+ฉะเชิงเทรา!J45+ชลบุรี!J45+ชัยนาท!J45+ตราด!J45+นครนายก!J45+นครปฐม!J45+ปทุมธานี!J45+ประจวบคีรีขันธ์!J45+ปราจีนบุรี!J45+พระนครศรีอยุธยา!J45+เพชรบุรี!J45+ระยอง!J45+ราชบุรี!J45+ลพบุรี!J45+สระแก้ว!J45+สระบุรี!J45+สิงห์บุรี!J45+สุพรรณบุรี!J45+อ่างทอง!J45</f>
        <v>0</v>
      </c>
      <c r="K45" s="48">
        <f t="shared" ca="1" si="5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กาญจนบุรี!I46+จันทบุรี!I46+ฉะเชิงเทรา!I46+ชลบุรี!I46+ชัยนาท!I46+ตราด!I46+นครนายก!I46+นครปฐม!I46+ปทุมธานี!I46+ประจวบคีรีขันธ์!I46+ปราจีนบุรี!I46+พระนครศรีอยุธยา!I46+เพชรบุรี!I46+ระยอง!I46+ราชบุรี!I46+ลพบุรี!I46+สระแก้ว!I46+สระบุรี!I46+สิงห์บุรี!I46+สุพรรณบุรี!I46+อ่างทอง!I46</f>
        <v>29</v>
      </c>
      <c r="J46" s="67">
        <f>กาญจนบุรี!J46+จันทบุรี!J46+ฉะเชิงเทรา!J46+ชลบุรี!J46+ชัยนาท!J46+ตราด!J46+นครนายก!J46+นครปฐม!J46+ปทุมธานี!J46+ประจวบคีรีขันธ์!J46+ปราจีนบุรี!J46+พระนครศรีอยุธยา!J46+เพชรบุรี!J46+ระยอง!J46+ราชบุรี!J46+ลพบุรี!J46+สระแก้ว!J46+สระบุรี!J46+สิงห์บุรี!J46+สุพรรณบุรี!J46+อ่างทอง!J46</f>
        <v>6</v>
      </c>
      <c r="K46" s="48">
        <f t="shared" ca="1" si="5"/>
        <v>20.689655172413794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กาญจนบุรี!I47+จันทบุรี!I47+ฉะเชิงเทรา!I47+ชลบุรี!I47+ชัยนาท!I47+ตราด!I47+นครนายก!I47+นครปฐม!I47+ปทุมธานี!I47+ประจวบคีรีขันธ์!I47+ปราจีนบุรี!I47+พระนครศรีอยุธยา!I47+เพชรบุรี!I47+ระยอง!I47+ราชบุรี!I47+ลพบุรี!I47+สระแก้ว!I47+สระบุรี!I47+สิงห์บุรี!I47+สุพรรณบุรี!I47+อ่างทอง!I47</f>
        <v>29</v>
      </c>
      <c r="J47" s="67">
        <f>กาญจนบุรี!J47+จันทบุรี!J47+ฉะเชิงเทรา!J47+ชลบุรี!J47+ชัยนาท!J47+ตราด!J47+นครนายก!J47+นครปฐม!J47+ปทุมธานี!J47+ประจวบคีรีขันธ์!J47+ปราจีนบุรี!J47+พระนครศรีอยุธยา!J47+เพชรบุรี!J47+ระยอง!J47+ราชบุรี!J47+ลพบุรี!J47+สระแก้ว!J47+สระบุรี!J47+สิงห์บุรี!J47+สุพรรณบุรี!J47+อ่างทอง!J47</f>
        <v>0</v>
      </c>
      <c r="K47" s="48">
        <f t="shared" ca="1" si="5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กาญจนบุรี!I48+จันทบุรี!I48+ฉะเชิงเทรา!I48+ชลบุรี!I48+ชัยนาท!I48+ตราด!I48+นครนายก!I48+นครปฐม!I48+ปทุมธานี!I48+ประจวบคีรีขันธ์!I48+ปราจีนบุรี!I48+พระนครศรีอยุธยา!I48+เพชรบุรี!I48+ระยอง!I48+ราชบุรี!I48+ลพบุรี!I48+สระแก้ว!I48+สระบุรี!I48+สิงห์บุรี!I48+สุพรรณบุรี!I48+อ่างทอง!I48</f>
        <v>8</v>
      </c>
      <c r="J48" s="67">
        <f>กาญจนบุรี!J48+จันทบุรี!J48+ฉะเชิงเทรา!J48+ชลบุรี!J48+ชัยนาท!J48+ตราด!J48+นครนายก!J48+นครปฐม!J48+ปทุมธานี!J48+ประจวบคีรีขันธ์!J48+ปราจีนบุรี!J48+พระนครศรีอยุธยา!J48+เพชรบุรี!J48+ระยอง!J48+ราชบุรี!J48+ลพบุรี!J48+สระแก้ว!J48+สระบุรี!J48+สิงห์บุรี!J48+สุพรรณบุรี!J48+อ่างทอง!J48</f>
        <v>0</v>
      </c>
      <c r="K48" s="48">
        <f t="shared" ca="1" si="5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f>กาญจนบุรี!J49+จันทบุรี!J49+ฉะเชิงเทรา!J49+ชลบุรี!J49+ชัยนาท!J49+ตราด!J49+นครนายก!J49+นครปฐม!J49+ปทุมธานี!J49+ประจวบคีรีขันธ์!J49+ปราจีนบุรี!J49+พระนครศรีอยุธยา!J49+เพชรบุรี!J49+ระยอง!J49+ราชบุรี!J49+ลพบุรี!J49+สระแก้ว!J49+สระบุรี!J49+สิงห์บุรี!J49+สุพรรณบุรี!J49+อ่างทอง!J49</f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f>กาญจนบุรี!J50+จันทบุรี!J50+ฉะเชิงเทรา!J50+ชลบุรี!J50+ชัยนาท!J50+ตราด!J50+นครนายก!J50+นครปฐม!J50+ปทุมธานี!J50+ประจวบคีรีขันธ์!J50+ปราจีนบุรี!J50+พระนครศรีอยุธยา!J50+เพชรบุรี!J50+ระยอง!J50+ราชบุรี!J50+ลพบุรี!J50+สระแก้ว!J50+สระบุรี!J50+สิงห์บุรี!J50+สุพรรณบุรี!J50+อ่างทอง!J50</f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กาญจนบุรี!I52+จันทบุรี!I52+ฉะเชิงเทรา!I52+ชลบุรี!I52+ชัยนาท!I52+ตราด!I52+นครนายก!I52+นครปฐม!I52+ปทุมธานี!I52+ประจวบคีรีขันธ์!I52+ปราจีนบุรี!I52+พระนครศรีอยุธยา!I52+เพชรบุรี!I52+ระยอง!I52+ราชบุรี!I52+ลพบุรี!I52+สระแก้ว!I52+สระบุรี!I52+สิงห์บุรี!I52+สุพรรณบุรี!I52+อ่างทอง!I52</f>
        <v>105</v>
      </c>
      <c r="J52" s="38">
        <f>กาญจนบุรี!J52+จันทบุรี!J52+ฉะเชิงเทรา!J52+ชลบุรี!J52+ชัยนาท!J52+ตราด!J52+นครนายก!J52+นครปฐม!J52+ปทุมธานี!J52+ประจวบคีรีขันธ์!J52+ปราจีนบุรี!J52+พระนครศรีอยุธยา!J52+เพชรบุรี!J52+ระยอง!J52+ราชบุรี!J52+ลพบุรี!J52+สระแก้ว!J52+สระบุรี!J52+สิงห์บุรี!J52+สุพรรณบุรี!J52+อ่างทอง!J52</f>
        <v>20</v>
      </c>
      <c r="K52" s="39">
        <f ca="1">IF(I52&gt;0,J52*100/I52,0)</f>
        <v>19.047619047619047</v>
      </c>
      <c r="L52" s="40">
        <f ca="1">กาญจนบุรี!L52+จันทบุรี!L52+ฉะเชิงเทรา!L52+ชลบุรี!L52+ชัยนาท!L52+ตราด!L52+นครนายก!L52+นครปฐม!L52+ปทุมธานี!L52+ประจวบคีรีขันธ์!L52+ปราจีนบุรี!L52+พระนครศรีอยุธยา!L52+เพชรบุรี!L52+ระยอง!L52+ราชบุรี!L52+ลพบุรี!L52+สระแก้ว!L52+สระบุรี!L52+สิงห์บุรี!L52+สุพรรณบุรี!L52+อ่างทอง!L52</f>
        <v>441990</v>
      </c>
      <c r="M52" s="40">
        <f>กาญจนบุรี!M52+จันทบุรี!M52+ฉะเชิงเทรา!M52+ชลบุรี!M52+ชัยนาท!M52+ตราด!M52+นครนายก!M52+นครปฐม!M52+ปทุมธานี!M52+ประจวบคีรีขันธ์!M52+ปราจีนบุรี!M52+พระนครศรีอยุธยา!M52+เพชรบุรี!M52+ระยอง!M52+ราชบุรี!M52+ลพบุรี!M52+สระแก้ว!M52+สระบุรี!M52+สิงห์บุรี!M52+สุพรรณบุรี!M52+อ่างทอง!M52</f>
        <v>62840</v>
      </c>
      <c r="N52" s="39">
        <f ca="1">IF(L52&gt;0,M52*100/L52,0)</f>
        <v>14.217516233398946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f>กาญจนบุรี!L53+จันทบุรี!L53+ฉะเชิงเทรา!L53+ชลบุรี!L53+ชัยนาท!L53+ตราด!L53+นครนายก!L53+นครปฐม!L53+ปทุมธานี!L53+ประจวบคีรีขันธ์!L53+ปราจีนบุรี!L53+พระนครศรีอยุธยา!L53+เพชรบุรี!L53+ระยอง!L53+ราชบุรี!L53+ลพบุรี!L53+สระแก้ว!L53+สระบุรี!L53+สิงห์บุรี!L53+สุพรรณบุรี!L53+อ่างทอง!L53</f>
        <v>0</v>
      </c>
      <c r="M53" s="49">
        <f>กาญจนบุรี!M53+จันทบุรี!M53+ฉะเชิงเทรา!M53+ชลบุรี!M53+ชัยนาท!M53+ตราด!M53+นครนายก!M53+นครปฐม!M53+ปทุมธานี!M53+ประจวบคีรีขันธ์!M53+ปราจีนบุรี!M53+พระนครศรีอยุธยา!M53+เพชรบุรี!M53+ระยอง!M53+ราชบุรี!M53+ลพบุรี!M53+สระแก้ว!M53+สระบุรี!M53+สิงห์บุรี!M53+สุพรรณบุรี!M53+อ่างทอง!M53</f>
        <v>0</v>
      </c>
      <c r="N53" s="49">
        <f t="shared" ref="N53:N56" si="6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ca="1">กาญจนบุรี!L54+จันทบุรี!L54+ฉะเชิงเทรา!L54+ชลบุรี!L54+ชัยนาท!L54+ตราด!L54+นครนายก!L54+นครปฐม!L54+ปทุมธานี!L54+ประจวบคีรีขันธ์!L54+ปราจีนบุรี!L54+พระนครศรีอยุธยา!L54+เพชรบุรี!L54+ระยอง!L54+ราชบุรี!L54+ลพบุรี!L54+สระแก้ว!L54+สระบุรี!L54+สิงห์บุรี!L54+สุพรรณบุรี!L54+อ่างทอง!L54</f>
        <v>441990</v>
      </c>
      <c r="M54" s="49">
        <f>กาญจนบุรี!M54+จันทบุรี!M54+ฉะเชิงเทรา!M54+ชลบุรี!M54+ชัยนาท!M54+ตราด!M54+นครนายก!M54+นครปฐม!M54+ปทุมธานี!M54+ประจวบคีรีขันธ์!M54+ปราจีนบุรี!M54+พระนครศรีอยุธยา!M54+เพชรบุรี!M54+ระยอง!M54+ราชบุรี!M54+ลพบุรี!M54+สระแก้ว!M54+สระบุรี!M54+สิงห์บุรี!M54+สุพรรณบุรี!M54+อ่างทอง!M54</f>
        <v>62840</v>
      </c>
      <c r="N54" s="49">
        <f t="shared" ca="1" si="6"/>
        <v>14.217516233398946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กาญจนบุรี!L55+จันทบุรี!L55+ฉะเชิงเทรา!L55+ชลบุรี!L55+ชัยนาท!L55+ตราด!L55+นครนายก!L55+นครปฐม!L55+ปทุมธานี!L55+ประจวบคีรีขันธ์!L55+ปราจีนบุรี!L55+พระนครศรีอยุธยา!L55+เพชรบุรี!L55+ระยอง!L55+ราชบุรี!L55+ลพบุรี!L55+สระแก้ว!L55+สระบุรี!L55+สิงห์บุรี!L55+สุพรรณบุรี!L55+อ่างทอง!L55</f>
        <v>0</v>
      </c>
      <c r="M55" s="52">
        <f>กาญจนบุรี!M55+จันทบุรี!M55+ฉะเชิงเทรา!M55+ชลบุรี!M55+ชัยนาท!M55+ตราด!M55+นครนายก!M55+นครปฐม!M55+ปทุมธานี!M55+ประจวบคีรีขันธ์!M55+ปราจีนบุรี!M55+พระนครศรีอยุธยา!M55+เพชรบุรี!M55+ระยอง!M55+ราชบุรี!M55+ลพบุรี!M55+สระแก้ว!M55+สระบุรี!M55+สิงห์บุรี!M55+สุพรรณบุรี!M55+อ่างทอง!M55</f>
        <v>0</v>
      </c>
      <c r="N55" s="52">
        <f t="shared" ca="1" si="6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441990</v>
      </c>
      <c r="M56" s="53">
        <f>กาญจนบุรี!M56+จันทบุรี!M56+ฉะเชิงเทรา!M56+ชลบุรี!M56+ชัยนาท!M56+ตราด!M56+นครนายก!M56+นครปฐม!M56+ปทุมธานี!M56+ประจวบคีรีขันธ์!M56+ปราจีนบุรี!M56+พระนครศรีอยุธยา!M56+เพชรบุรี!M56+ระยอง!M56+ราชบุรี!M56+ลพบุรี!M56+สระแก้ว!M56+สระบุรี!M56+สิงห์บุรี!M56+สุพรรณบุรี!M56+อ่างทอง!M56</f>
        <v>62840</v>
      </c>
      <c r="N56" s="52">
        <f t="shared" ca="1" si="6"/>
        <v>14.217516233398946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f>กาญจนบุรี!J58+จันทบุรี!J58+ฉะเชิงเทรา!J58+ชลบุรี!J58+ชัยนาท!J58+ตราด!J58+นครนายก!J58+นครปฐม!J58+ปทุมธานี!J58+ประจวบคีรีขันธ์!J58+ปราจีนบุรี!J58+พระนครศรีอยุธยา!J58+เพชรบุรี!J58+ระยอง!J58+ราชบุรี!J58+ลพบุรี!J58+สระแก้ว!J58+สระบุรี!J58+สิงห์บุรี!J58+สุพรรณบุรี!J58+อ่างทอง!J58</f>
        <v>3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f>กาญจนบุรี!J59+จันทบุรี!J59+ฉะเชิงเทรา!J59+ชลบุรี!J59+ชัยนาท!J59+ตราด!J59+นครนายก!J59+นครปฐม!J59+ปทุมธานี!J59+ประจวบคีรีขันธ์!J59+ปราจีนบุรี!J59+พระนครศรีอยุธยา!J59+เพชรบุรี!J59+ระยอง!J59+ราชบุรี!J59+ลพบุรี!J59+สระแก้ว!J59+สระบุรี!J59+สิงห์บุรี!J59+สุพรรณบุรี!J59+อ่างทอง!J59</f>
        <v>3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f>กาญจนบุรี!J60+จันทบุรี!J60+ฉะเชิงเทรา!J60+ชลบุรี!J60+ชัยนาท!J60+ตราด!J60+นครนายก!J60+นครปฐม!J60+ปทุมธานี!J60+ประจวบคีรีขันธ์!J60+ปราจีนบุรี!J60+พระนครศรีอยุธยา!J60+เพชรบุรี!J60+ระยอง!J60+ราชบุรี!J60+ลพบุรี!J60+สระแก้ว!J60+สระบุรี!J60+สิงห์บุรี!J60+สุพรรณบุรี!J60+อ่างทอง!J60</f>
        <v>3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f>กาญจนบุรี!J61+จันทบุรี!J61+ฉะเชิงเทรา!J61+ชลบุรี!J61+ชัยนาท!J61+ตราด!J61+นครนายก!J61+นครปฐม!J61+ปทุมธานี!J61+ประจวบคีรีขันธ์!J61+ปราจีนบุรี!J61+พระนครศรีอยุธยา!J61+เพชรบุรี!J61+ระยอง!J61+ราชบุรี!J61+ลพบุรี!J61+สระแก้ว!J61+สระบุรี!J61+สิงห์บุรี!J61+สุพรรณบุรี!J61+อ่างทอง!J61</f>
        <v>1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กาญจนบุรี!I62+จันทบุรี!I62+ฉะเชิงเทรา!I62+ชลบุรี!I62+ชัยนาท!I62+ตราด!I62+นครนายก!I62+นครปฐม!I62+ปทุมธานี!I62+ประจวบคีรีขันธ์!I62+ปราจีนบุรี!I62+พระนครศรีอยุธยา!I62+เพชรบุรี!I62+ระยอง!I62+ราชบุรี!I62+ลพบุรี!I62+สระแก้ว!I62+สระบุรี!I62+สิงห์บุรี!I62+สุพรรณบุรี!I62+อ่างทอง!I62</f>
        <v>105</v>
      </c>
      <c r="J62" s="67">
        <f>กาญจนบุรี!J62+จันทบุรี!J62+ฉะเชิงเทรา!J62+ชลบุรี!J62+ชัยนาท!J61+ตราด!J62+นครนายก!J62+นครปฐม!J62+ปทุมธานี!J62+ประจวบคีรีขันธ์!J62+ปราจีนบุรี!J62+พระนครศรีอยุธยา!J62+เพชรบุรี!J62+ระยอง!J62+ราชบุรี!J62+ลพบุรี!J62+สระแก้ว!J62+สระบุรี!J62+สิงห์บุรี!J62+สุพรรณบุรี!J62+อ่างทอง!J62</f>
        <v>20</v>
      </c>
      <c r="K62" s="48">
        <f t="shared" ref="K62:K63" ca="1" si="7">IF(I62&gt;0,J62*100/I62,0)</f>
        <v>19.047619047619047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กาญจนบุรี!I63+จันทบุรี!I63+ฉะเชิงเทรา!I63+ชลบุรี!I63+ชัยนาท!I63+ตราด!I63+นครนายก!I63+นครปฐม!I63+ปทุมธานี!I63+ประจวบคีรีขันธ์!I63+ปราจีนบุรี!I63+พระนครศรีอยุธยา!I63+เพชรบุรี!I63+ระยอง!I63+ราชบุรี!I63+ลพบุรี!I63+สระแก้ว!I63+สระบุรี!I63+สิงห์บุรี!I63+สุพรรณบุรี!I63+อ่างทอง!I63</f>
        <v>105</v>
      </c>
      <c r="J63" s="67">
        <f>กาญจนบุรี!J63+จันทบุรี!J63+ฉะเชิงเทรา!J63+ชลบุรี!J63+ชัยนาท!J63+ตราด!J63+นครนายก!J63+นครปฐม!J63+ปทุมธานี!J63+ประจวบคีรีขันธ์!J63+ปราจีนบุรี!J63+พระนครศรีอยุธยา!J63+เพชรบุรี!J63+ระยอง!J63+ราชบุรี!J63+ลพบุรี!J63+สระแก้ว!J63+สระบุรี!J63+สิงห์บุรี!J63+สุพรรณบุรี!J63+อ่างทอง!J63</f>
        <v>0</v>
      </c>
      <c r="K63" s="48">
        <f t="shared" ca="1" si="7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f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f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ca="1">กาญจนบุรี!I68+จันทบุรี!I68+ฉะเชิงเทรา!I68+ชลบุรี!I68+ชัยนาท!I68+ตราด!I68+นครนายก!I68+นครปฐม!I68+ปทุมธานี!I68+ประจวบคีรีขันธ์!I68+ปราจีนบุรี!I68+พระนครศรีอยุธยา!I68+เพชรบุรี!I68+ระยอง!I68+ราชบุรี!I68+ลพบุรี!I68+สระแก้ว!I68+สระบุรี!I68+สิงห์บุรี!I68+สุพรรณบุรี!I68+อ่างทอง!I68</f>
        <v>440</v>
      </c>
      <c r="J68" s="136">
        <f>กาญจนบุรี!J68+จันทบุรี!J68+ฉะเชิงเทรา!J68+ชลบุรี!J68+ชัยนาท!J68+ตราด!J68+นครนายก!J68+นครปฐม!J68+ปทุมธานี!J68+ประจวบคีรีขันธ์!J68+ปราจีนบุรี!J68+พระนครศรีอยุธยา!J68+เพชรบุรี!J68+ระยอง!J68+ราชบุรี!J68+ลพบุรี!J68+สระแก้ว!J68+สระบุรี!J68+สิงห์บุรี!J68+สุพรรณบุรี!J68+อ่างทอง!J68</f>
        <v>45</v>
      </c>
      <c r="K68" s="137">
        <f ca="1">IF(I68&gt;0,J68*100/I68,0)</f>
        <v>10.227272727272727</v>
      </c>
      <c r="L68" s="138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6816300</v>
      </c>
      <c r="M68" s="138">
        <f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291662.70999999996</v>
      </c>
      <c r="N68" s="137">
        <f ca="1">IF(L68&gt;0,M68*100/L68,0)</f>
        <v>4.2789007232662879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f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0</v>
      </c>
      <c r="M70" s="49">
        <f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0</v>
      </c>
      <c r="N70" s="49">
        <f t="shared" ref="N70:N77" si="8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6816300</v>
      </c>
      <c r="M71" s="139">
        <f>กาญจนบุรี!M71+จันทบุรี!M71+ฉะเชิงเทรา!M71+ชลบุรี!M71+ชัยนาท!M71+ตราด!M71+นครนายก!M71+นครปฐม!M71+ปทุมธานี!M71+ประจวบคีรีขันธ์!M71+ปราจีนบุรี!M71+พระนครศรีอยุธยา!M71+เพชรบุรี!M71+ระยอง!M71+ราชบุรี!M71+ลพบุรี!M71+สระแก้ว!M71+สระบุรี!M71+สิงห์บุรี!M71+สุพรรณบุรี!M71+อ่างทอง!M71</f>
        <v>291662.70999999996</v>
      </c>
      <c r="N71" s="49">
        <f t="shared" ca="1" si="8"/>
        <v>4.2789007232662879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3590600</v>
      </c>
      <c r="M72" s="53">
        <f>กาญจนบุรี!M72+จันทบุรี!M72+ฉะเชิงเทรา!M72+ชลบุรี!M72+ชัยนาท!M72+ตราด!M72+นครนายก!M72+นครปฐม!M72+ปทุมธานี!M72+ประจวบคีรีขันธ์!M72+ปราจีนบุรี!M72+พระนครศรีอยุธยา!M72+เพชรบุรี!M72+ระยอง!M72+ราชบุรี!M72+ลพบุรี!M72+สระแก้ว!M72+สระบุรี!M72+สิงห์บุรี!M72+สุพรรณบุรี!M72+อ่างทอง!M72</f>
        <v>165157.71</v>
      </c>
      <c r="N72" s="52">
        <f t="shared" ca="1" si="8"/>
        <v>4.5997245585695987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ca="1"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3225700</v>
      </c>
      <c r="M73" s="52">
        <f>กาญจนบุรี!M73+จันทบุรี!M73+ฉะเชิงเทรา!M73+ชลบุรี!M73+ชัยนาท!M73+ตราด!M73+นครนายก!M73+นครปฐม!M73+ปทุมธานี!M73+ประจวบคีรีขันธ์!M73+ปราจีนบุรี!M73+พระนครศรีอยุธยา!M73+เพชรบุรี!M73+ระยอง!M73+ราชบุรี!M73+ลพบุรี!M73+สระแก้ว!M73+สระบุรี!M73+สิงห์บุรี!M73+สุพรรณบุรี!M73+อ่างทอง!M73</f>
        <v>126505</v>
      </c>
      <c r="N73" s="52">
        <f t="shared" ca="1" si="8"/>
        <v>3.9217844188858231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ca="1">กาญจนบุรี!I74+จันทบุรี!I74+ฉะเชิงเทรา!I74+ชลบุรี!I74+ชัยนาท!I74+ตราด!I74+นครนายก!I74+นครปฐม!I74+ปทุมธานี!I74+ประจวบคีรีขันธ์!I74+ปราจีนบุรี!I74+พระนครศรีอยุธยา!I74+เพชรบุรี!I74+ระยอง!I74+ราชบุรี!I74+ลพบุรี!I74+สระแก้ว!I74+สระบุรี!I74+สิงห์บุรี!I74+สุพรรณบุรี!I74+อ่างทอง!I74</f>
        <v>84</v>
      </c>
      <c r="J74" s="145">
        <f>กาญจนบุรี!J74+จันทบุรี!J74+ฉะเชิงเทรา!J74+ชลบุรี!J74+ชัยนาท!J74+ตราด!J74+นครนายก!J74+นครปฐม!J74+ปทุมธานี!J74+ประจวบคีรีขันธ์!J74+ปราจีนบุรี!J74+พระนครศรีอยุธยา!J74+เพชรบุรี!J74+ระยอง!J74+ราชบุรี!J74+ลพบุรี!J74+สระแก้ว!J74+สระบุรี!J74+สิงห์บุรี!J74+สุพรรณบุรี!J74+อ่างทอง!J74</f>
        <v>2</v>
      </c>
      <c r="K74" s="146">
        <f ca="1">IF(I74&gt;0,J74*100/I74,0)</f>
        <v>2.3809523809523809</v>
      </c>
      <c r="L74" s="147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157500</v>
      </c>
      <c r="M74" s="147">
        <f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3000</v>
      </c>
      <c r="N74" s="147">
        <f t="shared" ca="1" si="8"/>
        <v>1.9047619047619047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f>กาญจนบุรี!L75+จันทบุรี!L75+ฉะเชิงเทรา!L75+ชลบุรี!L75+ชัยนาท!L75+ตราด!L75+นครนายก!L75+นครปฐม!L75+ปทุมธานี!L75+ประจวบคีรีขันธ์!L75+ปราจีนบุรี!L75+พระนครศรีอยุธยา!L75+เพชรบุรี!L75+ระยอง!L75+ราชบุรี!L75+ลพบุรี!L75+สระแก้ว!L75+สระบุรี!L75+สิงห์บุรี!L75+สุพรรณบุรี!L75+อ่างทอง!L75</f>
        <v>0</v>
      </c>
      <c r="M75" s="49">
        <f>กาญจนบุรี!M75+จันทบุรี!M75+ฉะเชิงเทรา!M75+ชลบุรี!M75+ชัยนาท!M75+ตราด!M75+นครนายก!M75+นครปฐม!M75+ปทุมธานี!M75+ประจวบคีรีขันธ์!M75+ปราจีนบุรี!M75+พระนครศรีอยุธยา!M75+เพชรบุรี!M75+ระยอง!M75+ราชบุรี!M75+ลพบุรี!M75+สระแก้ว!M75+สระบุรี!M75+สิงห์บุรี!M75+สุพรรณบุรี!M75+อ่างทอง!M75</f>
        <v>0</v>
      </c>
      <c r="N75" s="49">
        <f t="shared" si="8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ca="1">กาญจนบุรี!L76+จันทบุรี!L76+ฉะเชิงเทรา!L76+ชลบุรี!L76+ชัยนาท!L76+ตราด!L76+นครนายก!L76+นครปฐม!L76+ปทุมธานี!L76+ประจวบคีรีขันธ์!L76+ปราจีนบุรี!L76+พระนครศรีอยุธยา!L76+เพชรบุรี!L76+ระยอง!L76+ราชบุรี!L76+ลพบุรี!L76+สระแก้ว!L76+สระบุรี!L76+สิงห์บุรี!L76+สุพรรณบุรี!L76+อ่างทอง!L76</f>
        <v>157500</v>
      </c>
      <c r="M76" s="49">
        <f>กาญจนบุรี!M76+จันทบุรี!M76+ฉะเชิงเทรา!M76+ชลบุรี!M76+ชัยนาท!M76+ตราด!M76+นครนายก!M76+นครปฐม!M76+ปทุมธานี!M76+ประจวบคีรีขันธ์!M76+ปราจีนบุรี!M76+พระนครศรีอยุธยา!M76+เพชรบุรี!M76+ระยอง!M76+ราชบุรี!M76+ลพบุรี!M76+สระแก้ว!M76+สระบุรี!M76+สิงห์บุรี!M76+สุพรรณบุรี!M76+อ่างทอง!M76</f>
        <v>3000</v>
      </c>
      <c r="N76" s="49">
        <f t="shared" ca="1" si="8"/>
        <v>1.9047619047619047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กาญจนบุรี!L77+จันทบุรี!L77+ฉะเชิงเทรา!L77+ชลบุรี!L77+ชัยนาท!L77+ตราด!L77+นครนายก!L77+นครปฐม!L77+ปทุมธานี!L77+ประจวบคีรีขันธ์!L77+ปราจีนบุรี!L77+พระนครศรีอยุธยา!L77+เพชรบุรี!L77+ระยอง!L77+ราชบุรี!L77+ลพบุรี!L77+สระแก้ว!L77+สระบุรี!L77+สิงห์บุรี!L77+สุพรรณบุรี!L77+อ่างทอง!L77</f>
        <v>157500</v>
      </c>
      <c r="M77" s="53">
        <f>กาญจนบุรี!M77+จันทบุรี!M77+ฉะเชิงเทรา!M77+ชลบุรี!M77+ชัยนาท!M77+ตราด!M77+นครนายก!M77+นครปฐม!M77+ปทุมธานี!M77+ประจวบคีรีขันธ์!M77+ปราจีนบุรี!M77+พระนครศรีอยุธยา!M77+เพชรบุรี!M77+ระยอง!M77+ราชบุรี!M77+ลพบุรี!M77+สระแก้ว!M77+สระบุรี!M77+สิงห์บุรี!M77+สุพรรณบุรี!M77+อ่างทอง!M77</f>
        <v>3000</v>
      </c>
      <c r="N77" s="52">
        <f t="shared" ca="1" si="8"/>
        <v>1.9047619047619047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f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13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f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5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f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3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f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1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84</v>
      </c>
      <c r="J83" s="67">
        <f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2</v>
      </c>
      <c r="K83" s="48">
        <f ca="1">IF(I83&gt;0,J83*100/I83,0)</f>
        <v>2.3809523809523809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60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67">
        <f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60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67">
        <f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f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f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ca="1">กาญจนบุรี!I89+จันทบุรี!I89+ฉะเชิงเทรา!I89+ชลบุรี!I89+ชัยนาท!I89+ตราด!I89+นครนายก!I89+นครปฐม!I89+ปทุมธานี!I89+ประจวบคีรีขันธ์!I89+ปราจีนบุรี!I89+พระนครศรีอยุธยา!I89+เพชรบุรี!I89+ระยอง!I89+ราชบุรี!I89+ลพบุรี!I89+สระแก้ว!I89+สระบุรี!I89+สิงห์บุรี!I89+สุพรรณบุรี!I89+อ่างทอง!I89</f>
        <v>50</v>
      </c>
      <c r="J89" s="149">
        <f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2</v>
      </c>
      <c r="K89" s="150">
        <f ca="1">IF(I89&gt;0,J89*100/I89,0)</f>
        <v>4</v>
      </c>
      <c r="L89" s="147">
        <f ca="1">กาญจนบุรี!L89+จันทบุรี!L89+ฉะเชิงเทรา!L89+ชลบุรี!L89+ชัยนาท!L89+ตราด!L89+นครนายก!L89+นครปฐม!L89+ปทุมธานี!L89+ประจวบคีรีขันธ์!L89+ปราจีนบุรี!L89+พระนครศรีอยุธยา!L89+เพชรบุรี!L89+ระยอง!L89+ราชบุรี!L89+ลพบุรี!L89+สระแก้ว!L89+สระบุรี!L89+สิงห์บุรี!L89+สุพรรณบุรี!L89+อ่างทอง!L89</f>
        <v>700000</v>
      </c>
      <c r="M89" s="147">
        <f>กาญจนบุรี!M89+จันทบุรี!M89+ฉะเชิงเทรา!M89+ชลบุรี!M89+ชัยนาท!M89+ตราด!M89+นครนายก!M89+นครปฐม!M89+ปทุมธานี!M89+ประจวบคีรีขันธ์!M89+ปราจีนบุรี!M89+พระนครศรีอยุธยา!M89+เพชรบุรี!M89+ระยอง!M89+ราชบุรี!M89+ลพบุรี!M89+สระแก้ว!M89+สระบุรี!M89+สิงห์บุรี!M89+สุพรรณบุรี!M89+อ่างทอง!M89</f>
        <v>27240</v>
      </c>
      <c r="N89" s="147">
        <f t="shared" ref="N89:N92" ca="1" si="9">+IF(L89&gt;0,M89*100/L89,0)</f>
        <v>3.8914285714285715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f>กาญจนบุรี!L90+จันทบุรี!L90+ฉะเชิงเทรา!L90+ชลบุรี!L90+ชัยนาท!L90+ตราด!L90+นครนายก!L90+นครปฐม!L90+ปทุมธานี!L90+ประจวบคีรีขันธ์!L90+ปราจีนบุรี!L90+พระนครศรีอยุธยา!L90+เพชรบุรี!L90+ระยอง!L90+ราชบุรี!L90+ลพบุรี!L90+สระแก้ว!L90+สระบุรี!L90+สิงห์บุรี!L90+สุพรรณบุรี!L90+อ่างทอง!L90</f>
        <v>0</v>
      </c>
      <c r="M90" s="49">
        <f>กาญจนบุรี!M90+จันทบุรี!M90+ฉะเชิงเทรา!M90+ชลบุรี!M90+ชัยนาท!M90+ตราด!M90+นครนายก!M90+นครปฐม!M90+ปทุมธานี!M90+ประจวบคีรีขันธ์!M90+ปราจีนบุรี!M90+พระนครศรีอยุธยา!M90+เพชรบุรี!M90+ระยอง!M90+ราชบุรี!M90+ลพบุรี!M90+สระแก้ว!M90+สระบุรี!M90+สิงห์บุรี!M90+สุพรรณบุรี!M90+อ่างทอง!M90</f>
        <v>0</v>
      </c>
      <c r="N90" s="49">
        <f t="shared" si="9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ca="1">กาญจนบุรี!L91+จันทบุรี!L91+ฉะเชิงเทรา!L91+ชลบุรี!L91+ชัยนาท!L91+ตราด!L91+นครนายก!L91+นครปฐม!L91+ปทุมธานี!L91+ประจวบคีรีขันธ์!L91+ปราจีนบุรี!L91+พระนครศรีอยุธยา!L91+เพชรบุรี!L91+ระยอง!L91+ราชบุรี!L91+ลพบุรี!L91+สระแก้ว!L91+สระบุรี!L91+สิงห์บุรี!L91+สุพรรณบุรี!L91+อ่างทอง!L91</f>
        <v>700000</v>
      </c>
      <c r="M91" s="49">
        <f>กาญจนบุรี!M91+จันทบุรี!M91+ฉะเชิงเทรา!M91+ชลบุรี!M91+ชัยนาท!M91+ตราด!M91+นครนายก!M91+นครปฐม!M91+ปทุมธานี!M91+ประจวบคีรีขันธ์!M91+ปราจีนบุรี!M91+พระนครศรีอยุธยา!M91+เพชรบุรี!M91+ระยอง!M91+ราชบุรี!M91+ลพบุรี!M91+สระแก้ว!M91+สระบุรี!M91+สิงห์บุรี!M91+สุพรรณบุรี!M91+อ่างทอง!M91</f>
        <v>27240</v>
      </c>
      <c r="N91" s="49">
        <f t="shared" ca="1" si="9"/>
        <v>3.8914285714285715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กาญจนบุรี!L92+จันทบุรี!L92+ฉะเชิงเทรา!L92+ชลบุรี!L92+ชัยนาท!L92+ตราด!L92+นครนายก!L92+นครปฐม!L92+ปทุมธานี!L92+ประจวบคีรีขันธ์!L92+ปราจีนบุรี!L92+พระนครศรีอยุธยา!L92+เพชรบุรี!L92+ระยอง!L92+ราชบุรี!L92+ลพบุรี!L92+สระแก้ว!L92+สระบุรี!L92+สิงห์บุรี!L92+สุพรรณบุรี!L92+อ่างทอง!L92</f>
        <v>700000</v>
      </c>
      <c r="M92" s="53">
        <f>กาญจนบุรี!M92+จันทบุรี!M92+ฉะเชิงเทรา!M92+ชลบุรี!M92+ชัยนาท!M92+ตราด!M92+นครนายก!M92+นครปฐม!M92+ปทุมธานี!M92+ประจวบคีรีขันธ์!M92+ปราจีนบุรี!M92+พระนครศรีอยุธยา!M92+เพชรบุรี!M92+ระยอง!M92+ราชบุรี!M92+ลพบุรี!M92+สระแก้ว!M92+สระบุรี!M92+สิงห์บุรี!M92+สุพรรณบุรี!M92+อ่างทอง!M92</f>
        <v>27240</v>
      </c>
      <c r="N92" s="52">
        <f t="shared" ca="1" si="9"/>
        <v>3.8914285714285715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f>กาญจนบุรี!J94+จันทบุรี!J94+ฉะเชิงเทรา!J94+ชลบุรี!J94+ชัยนาท!J94+ตราด!J94+นครนายก!J94+นครปฐม!J94+ปทุมธานี!J94+ประจวบคีรีขันธ์!J94+ปราจีนบุรี!J94+พระนครศรีอยุธยา!J94+เพชรบุรี!J94+ระยอง!J94+ราชบุรี!J94+ลพบุรี!J94+สระแก้ว!J94+สระบุรี!J94+สิงห์บุรี!J94+สุพรรณบุรี!J94+อ่างทอง!J94</f>
        <v>10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f>กาญจนบุรี!J95+จันทบุรี!J95+ฉะเชิงเทรา!J95+ชลบุรี!J95+ชัยนาท!J95+ตราด!J95+นครนายก!J95+นครปฐม!J95+ปทุมธานี!J95+ประจวบคีรีขันธ์!J95+ปราจีนบุรี!J95+พระนครศรีอยุธยา!J95+เพชรบุรี!J95+ระยอง!J95+ราชบุรี!J95+ลพบุรี!J95+สระแก้ว!J95+สระบุรี!J95+สิงห์บุรี!J95+สุพรรณบุรี!J95+อ่างทอง!J95</f>
        <v>9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f>กาญจนบุรี!J96+จันทบุรี!J96+ฉะเชิงเทรา!J96+ชลบุรี!J96+ชัยนาท!J96+ตราด!J96+นครนายก!J96+นครปฐม!J96+ปทุมธานี!J96+ประจวบคีรีขันธ์!J96+ปราจีนบุรี!J96+พระนครศรีอยุธยา!J96+เพชรบุรี!J96+ระยอง!J96+ราชบุรี!J96+ลพบุรี!J96+สระแก้ว!J96+สระบุรี!J96+สิงห์บุรี!J96+สุพรรณบุรี!J96+อ่างทอง!J96</f>
        <v>7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f>กาญจนบุรี!J97+จันทบุรี!J97+ฉะเชิงเทรา!J97+ชลบุรี!J97+ชัยนาท!J97+ตราด!J97+นครนายก!J97+นครปฐม!J97+ปทุมธานี!J97+ประจวบคีรีขันธ์!J97+ปราจีนบุรี!J97+พระนครศรีอยุธยา!J97+เพชรบุรี!J97+ระยอง!J97+ราชบุรี!J97+ลพบุรี!J97+สระแก้ว!J97+สระบุรี!J97+สิงห์บุรี!J97+สุพรรณบุรี!J97+อ่างทอง!J97</f>
        <v>3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กาญจนบุรี!I98+จันทบุรี!I98+ฉะเชิงเทรา!I98+ชลบุรี!I98+ชัยนาท!I98+ตราด!I98+นครนายก!I98+นครปฐม!I98+ปทุมธานี!I98+ประจวบคีรีขันธ์!I98+ปราจีนบุรี!I98+พระนครศรีอยุธยา!I98+เพชรบุรี!I98+ระยอง!I98+ราชบุรี!I98+ลพบุรี!I98+สระแก้ว!I98+สระบุรี!I98+สิงห์บุรี!I98+สุพรรณบุรี!I98+อ่างทอง!I98</f>
        <v>50</v>
      </c>
      <c r="J98" s="67">
        <f>กาญจนบุรี!J98+จันทบุรี!J98+ฉะเชิงเทรา!J98+ชลบุรี!J98+ชัยนาท!J98+ตราด!J98+นครนายก!J98+นครปฐม!J98+ปทุมธานี!J98+ประจวบคีรีขันธ์!J98+ปราจีนบุรี!J98+พระนครศรีอยุธยา!J98+เพชรบุรี!J98+ระยอง!J98+ราชบุรี!J98+ลพบุรี!J98+สระแก้ว!J98+สระบุรี!J98+สิงห์บุรี!J98+สุพรรณบุรี!J98+อ่างทอง!J98</f>
        <v>2</v>
      </c>
      <c r="K98" s="48">
        <f ca="1">IF(I98&gt;0,J98*100/I98,0)</f>
        <v>4</v>
      </c>
      <c r="L98" s="60"/>
      <c r="M98" s="60"/>
      <c r="N98" s="60"/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f>กาญจนบุรี!J99+จันทบุรี!J99+ฉะเชิงเทรา!J99+ชลบุรี!J99+ชัยนาท!J99+ตราด!J99+นครนายก!J99+นครปฐม!J99+ปทุมธานี!J99+ประจวบคีรีขันธ์!J99+ปราจีนบุรี!J99+พระนครศรีอยุธยา!J99+เพชรบุรี!J99+ระยอง!J99+ราชบุรี!J99+ลพบุรี!J99+สระแก้ว!J99+สระบุรี!J99+สิงห์บุรี!J99+สุพรรณบุรี!J99+อ่างทอง!J99</f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f>กาญจนบุรี!J100+จันทบุรี!J100+ฉะเชิงเทรา!J100+ชลบุรี!J100+ชัยนาท!J100+ตราด!J100+นครนายก!J100+นครปฐม!J100+ปทุมธานี!J100+ประจวบคีรีขันธ์!J100+ปราจีนบุรี!J100+พระนครศรีอยุธยา!J100+เพชรบุรี!J100+ระยอง!J100+ราชบุรี!J100+ลพบุรี!J100+สระแก้ว!J100+สระบุรี!J100+สิงห์บุรี!J100+สุพรรณบุรี!J100+อ่างทอง!J100</f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ca="1">กาญจนบุรี!I101+จันทบุรี!I101+ฉะเชิงเทรา!I101+ชลบุรี!I101+ชัยนาท!I101+ตราด!I101+นครนายก!I101+นครปฐม!I101+ปทุมธานี!I101+ประจวบคีรีขันธ์!I101+ปราจีนบุรี!I101+พระนครศรีอยุธยา!I101+เพชรบุรี!I101+ระยอง!I101+ราชบุรี!I101+ลพบุรี!I101+สระแก้ว!I101+สระบุรี!I101+สิงห์บุรี!I101+สุพรรณบุรี!I101+อ่างทอง!I101</f>
        <v>17</v>
      </c>
      <c r="J101" s="149">
        <f>กาญจนบุรี!J101+จันทบุรี!J101+ฉะเชิงเทรา!J101+ชลบุรี!J101+ชัยนาท!J101+ตราด!J101+นครนายก!J101+นครปฐม!J101+ปทุมธานี!J101+ประจวบคีรีขันธ์!J101+ปราจีนบุรี!J101+พระนครศรีอยุธยา!J101+เพชรบุรี!J101+ระยอง!J101+ราชบุรี!J101+ลพบุรี!J101+สระแก้ว!J101+สระบุรี!J101+สิงห์บุรี!J101+สุพรรณบุรี!J101+อ่างทอง!J101</f>
        <v>0</v>
      </c>
      <c r="K101" s="150">
        <f ca="1">IF(I101&gt;0,J101*100/I101,0)</f>
        <v>0</v>
      </c>
      <c r="L101" s="147">
        <f ca="1"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255000</v>
      </c>
      <c r="M101" s="147">
        <f>กาญจนบุรี!M101+จันทบุรี!M101+ฉะเชิงเทรา!M101+ชลบุรี!M101+ชัยนาท!M101+ตราด!M101+นครนายก!M101+นครปฐม!M101+ปทุมธานี!M101+ประจวบคีรีขันธ์!M101+ปราจีนบุรี!M101+พระนครศรีอยุธยา!M101+เพชรบุรี!M101+ระยอง!M101+ราชบุรี!M101+ลพบุรี!M101+สระแก้ว!M101+สระบุรี!M101+สิงห์บุรี!M101+สุพรรณบุรี!M101+อ่างทอง!M101</f>
        <v>13510</v>
      </c>
      <c r="N101" s="147">
        <f t="shared" ref="N101:N104" ca="1" si="10">+IF(L101&gt;0,M101*100/L101,0)</f>
        <v>5.2980392156862743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f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0</v>
      </c>
      <c r="M102" s="49">
        <f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0</v>
      </c>
      <c r="N102" s="49">
        <f t="shared" si="10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กาญจนบุรี!L103+จันทบุรี!L103+ฉะเชิงเทรา!L103+ชลบุรี!L103+ชัยนาท!L103+ตราด!L103+นครนายก!L103+นครปฐม!L103+ปทุมธานี!L103+ประจวบคีรีขันธ์!L103+ปราจีนบุรี!L103+พระนครศรีอยุธยา!L103+เพชรบุรี!L103+ระยอง!L103+ราชบุรี!L103+ลพบุรี!L103+สระแก้ว!L103+สระบุรี!L103+สิงห์บุรี!L103+สุพรรณบุรี!L103+อ่างทอง!L103</f>
        <v>255000</v>
      </c>
      <c r="M103" s="49">
        <f>กาญจนบุรี!M103+จันทบุรี!M103+ฉะเชิงเทรา!M103+ชลบุรี!M103+ชัยนาท!M103+ตราด!M103+นครนายก!M103+นครปฐม!M103+ปทุมธานี!M103+ประจวบคีรีขันธ์!M103+ปราจีนบุรี!M103+พระนครศรีอยุธยา!M103+เพชรบุรี!M103+ระยอง!M103+ราชบุรี!M103+ลพบุรี!M103+สระแก้ว!M103+สระบุรี!M103+สิงห์บุรี!M103+สุพรรณบุรี!M103+อ่างทอง!M103</f>
        <v>13510</v>
      </c>
      <c r="N103" s="49">
        <f t="shared" ca="1" si="10"/>
        <v>5.2980392156862743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กาญจนบุรี!L104+จันทบุรี!L104+ฉะเชิงเทรา!L104+ชลบุรี!L104+ชัยนาท!L104+ตราด!L104+นครนายก!L104+นครปฐม!L104+ปทุมธานี!L104+ประจวบคีรีขันธ์!L104+ปราจีนบุรี!L104+พระนครศรีอยุธยา!L104+เพชรบุรี!L104+ระยอง!L104+ราชบุรี!L104+ลพบุรี!L104+สระแก้ว!L104+สระบุรี!L104+สิงห์บุรี!L104+สุพรรณบุรี!L104+อ่างทอง!L104</f>
        <v>255000</v>
      </c>
      <c r="M104" s="53">
        <f>กาญจนบุรี!M104+จันทบุรี!M104+ฉะเชิงเทรา!M104+ชลบุรี!M104+ชัยนาท!M104+ตราด!M104+นครนายก!M104+นครปฐม!M104+ปทุมธานี!M104+ประจวบคีรีขันธ์!M104+ปราจีนบุรี!M104+พระนครศรีอยุธยา!M104+เพชรบุรี!M104+ระยอง!M104+ราชบุรี!M104+ลพบุรี!M104+สระแก้ว!M104+สระบุรี!M104+สิงห์บุรี!M104+สุพรรณบุรี!M104+อ่างทอง!M104</f>
        <v>13510</v>
      </c>
      <c r="N104" s="52">
        <f t="shared" ca="1" si="10"/>
        <v>5.2980392156862743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f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3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f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f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f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17</v>
      </c>
      <c r="J110" s="67">
        <f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0</v>
      </c>
      <c r="K110" s="48">
        <f t="shared" ref="K110:K111" ca="1" si="11">IF(I110&gt;0,J110*100/I110,0)</f>
        <v>0</v>
      </c>
      <c r="L110" s="60"/>
      <c r="M110" s="60"/>
      <c r="N110" s="60"/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17</v>
      </c>
      <c r="J111" s="67">
        <f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0</v>
      </c>
      <c r="K111" s="48">
        <f t="shared" ca="1" si="11"/>
        <v>0</v>
      </c>
      <c r="L111" s="60"/>
      <c r="M111" s="60"/>
      <c r="N111" s="60"/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f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f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ca="1">กาญจนบุรี!I114+จันทบุรี!I114+ฉะเชิงเทรา!I114+ชลบุรี!I114+ชัยนาท!I114+ตราด!I114+นครนายก!I114+นครปฐม!I114+ปทุมธานี!I114+ประจวบคีรีขันธ์!I114+ปราจีนบุรี!I114+พระนครศรีอยุธยา!I114+เพชรบุรี!I114+ระยอง!I114+ราชบุรี!I114+ลพบุรี!I114+สระแก้ว!I114+สระบุรี!I114+สิงห์บุรี!I114+สุพรรณบุรี!I114+อ่างทอง!I114</f>
        <v>451000</v>
      </c>
      <c r="J114" s="149">
        <f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150">
        <f ca="1">IF(I114&gt;0,J114*100/I114,0)</f>
        <v>0</v>
      </c>
      <c r="L114" s="147">
        <f ca="1">กาญจนบุรี!L114+จันทบุรี!L114+ฉะเชิงเทรา!L114+ชลบุรี!L114+ชัยนาท!L114+ตราด!L114+นครนายก!L114+นครปฐม!L114+ปทุมธานี!L114+ประจวบคีรีขันธ์!L114+ปราจีนบุรี!L114+พระนครศรีอยุธยา!L114+เพชรบุรี!L114+ระยอง!L114+ราชบุรี!L114+ลพบุรี!L114+สระแก้ว!L114+สระบุรี!L114+สิงห์บุรี!L114+สุพรรณบุรี!L114+อ่างทอง!L114</f>
        <v>282500</v>
      </c>
      <c r="M114" s="147">
        <f>กาญจนบุรี!M114+จันทบุรี!M114+ฉะเชิงเทรา!M114+ชลบุรี!M114+ชัยนาท!M114+ตราด!M114+นครนายก!M114+นครปฐม!M114+ปทุมธานี!M114+ประจวบคีรีขันธ์!M114+ปราจีนบุรี!M114+พระนครศรีอยุธยา!M114+เพชรบุรี!M114+ระยอง!M114+ราชบุรี!M114+ลพบุรี!M114+สระแก้ว!M114+สระบุรี!M114+สิงห์บุรี!M114+สุพรรณบุรี!M114+อ่างทอง!M114</f>
        <v>15000</v>
      </c>
      <c r="N114" s="147">
        <f t="shared" ref="N114:N117" ca="1" si="12">+IF(L114&gt;0,M114*100/L114,0)</f>
        <v>5.3097345132743365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f>กาญจนบุรี!L115+จันทบุรี!L115+ฉะเชิงเทรา!L115+ชลบุรี!L115+ชัยนาท!L115+ตราด!L115+นครนายก!L115+นครปฐม!L115+ปทุมธานี!L115+ประจวบคีรีขันธ์!L115+ปราจีนบุรี!L115+พระนครศรีอยุธยา!L115+เพชรบุรี!L115+ระยอง!L115+ราชบุรี!L115+ลพบุรี!L115+สระแก้ว!L115+สระบุรี!L115+สิงห์บุรี!L115+สุพรรณบุรี!L115+อ่างทอง!L115</f>
        <v>0</v>
      </c>
      <c r="M115" s="49">
        <f>กาญจนบุรี!M115+จันทบุรี!M115+ฉะเชิงเทรา!M115+ชลบุรี!M115+ชัยนาท!M115+ตราด!M115+นครนายก!M115+นครปฐม!M115+ปทุมธานี!M115+ประจวบคีรีขันธ์!M115+ปราจีนบุรี!M115+พระนครศรีอยุธยา!M115+เพชรบุรี!M115+ระยอง!M115+ราชบุรี!M115+ลพบุรี!M115+สระแก้ว!M115+สระบุรี!M115+สิงห์บุรี!M115+สุพรรณบุรี!M115+อ่างทอง!M115</f>
        <v>0</v>
      </c>
      <c r="N115" s="49">
        <f t="shared" si="12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กาญจนบุรี!L116+จันทบุรี!L116+ฉะเชิงเทรา!L116+ชลบุรี!L116+ชัยนาท!L116+ตราด!L116+นครนายก!L116+นครปฐม!L116+ปทุมธานี!L116+ประจวบคีรีขันธ์!L116+ปราจีนบุรี!L116+พระนครศรีอยุธยา!L116+เพชรบุรี!L116+ระยอง!L116+ราชบุรี!L116+ลพบุรี!L116+สระแก้ว!L116+สระบุรี!L116+สิงห์บุรี!L116+สุพรรณบุรี!L116+อ่างทอง!L116</f>
        <v>282500</v>
      </c>
      <c r="M116" s="49">
        <f>กาญจนบุรี!M116+จันทบุรี!M116+ฉะเชิงเทรา!M116+ชลบุรี!M116+ชัยนาท!M116+ตราด!M116+นครนายก!M116+นครปฐม!M116+ปทุมธานี!M116+ประจวบคีรีขันธ์!M116+ปราจีนบุรี!M116+พระนครศรีอยุธยา!M116+เพชรบุรี!M116+ระยอง!M116+ราชบุรี!M116+ลพบุรี!M116+สระแก้ว!M116+สระบุรี!M116+สิงห์บุรี!M116+สุพรรณบุรี!M116+อ่างทอง!M116</f>
        <v>15000</v>
      </c>
      <c r="N116" s="49">
        <f t="shared" ca="1" si="12"/>
        <v>5.3097345132743365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กาญจนบุรี!L117+จันทบุรี!L117+ฉะเชิงเทรา!L117+ชลบุรี!L117+ชัยนาท!L117+ตราด!L117+นครนายก!L117+นครปฐม!L117+ปทุมธานี!L117+ประจวบคีรีขันธ์!L117+ปราจีนบุรี!L117+พระนครศรีอยุธยา!L117+เพชรบุรี!L117+ระยอง!L117+ราชบุรี!L117+ลพบุรี!L117+สระแก้ว!L117+สระบุรี!L117+สิงห์บุรี!L117+สุพรรณบุรี!L117+อ่างทอง!L117</f>
        <v>282500</v>
      </c>
      <c r="M117" s="53">
        <f>กาญจนบุรี!M117+จันทบุรี!M117+ฉะเชิงเทรา!M117+ชลบุรี!M117+ชัยนาท!M117+ตราด!M117+นครนายก!M117+นครปฐม!M117+ปทุมธานี!M117+ประจวบคีรีขันธ์!M117+ปราจีนบุรี!M117+พระนครศรีอยุธยา!M117+เพชรบุรี!M117+ระยอง!M117+ราชบุรี!M117+ลพบุรี!M117+สระแก้ว!M117+สระบุรี!M117+สิงห์บุรี!M117+สุพรรณบุรี!M117+อ่างทอง!M117</f>
        <v>15000</v>
      </c>
      <c r="N117" s="52">
        <f t="shared" ca="1" si="12"/>
        <v>5.3097345132743365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f>กาญจนบุรี!J119+จันทบุรี!J119+ฉะเชิงเทรา!J119+ชลบุรี!J119+ชัยนาท!J119+ตราด!J119+นครนายก!J119+นครปฐม!J119+ปทุมธานี!J119+ประจวบคีรีขันธ์!J119+ปราจีนบุรี!J119+พระนครศรีอยุธยา!J119+เพชรบุรี!J119+ระยอง!J119+ราชบุรี!J119+ลพบุรี!J119+สระแก้ว!J119+สระบุรี!J119+สิงห์บุรี!J119+สุพรรณบุรี!J119+อ่างทอง!J119</f>
        <v>10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f>กาญจนบุรี!J120+จันทบุรี!J120+ฉะเชิงเทรา!J120+ชลบุรี!J120+ชัยนาท!J120+ตราด!J120+นครนายก!J120+นครปฐม!J120+ปทุมธานี!J120+ประจวบคีรีขันธ์!J120+ปราจีนบุรี!J120+พระนครศรีอยุธยา!J120+เพชรบุรี!J120+ระยอง!J120+ราชบุรี!J120+ลพบุรี!J120+สระแก้ว!J120+สระบุรี!J120+สิงห์บุรี!J120+สุพรรณบุรี!J120+อ่างทอง!J120</f>
        <v>8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f>กาญจนบุรี!J121+จันทบุรี!J121+ฉะเชิงเทรา!J121+ชลบุรี!J121+ชัยนาท!J121+ตราด!J121+นครนายก!J121+นครปฐม!J121+ปทุมธานี!J121+ประจวบคีรีขันธ์!J121+ปราจีนบุรี!J121+พระนครศรีอยุธยา!J121+เพชรบุรี!J121+ระยอง!J121+ราชบุรี!J121+ลพบุรี!J121+สระแก้ว!J121+สระบุรี!J121+สิงห์บุรี!J121+สุพรรณบุรี!J121+อ่างทอง!J121</f>
        <v>5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f>กาญจนบุรี!J122+จันทบุรี!J122+ฉะเชิงเทรา!J122+ชลบุรี!J122+ชัยนาท!J122+ตราด!J122+นครนายก!J122+นครปฐม!J122+ปทุมธานี!J122+ประจวบคีรีขันธ์!J122+ปราจีนบุรี!J122+พระนครศรีอยุธยา!J122+เพชรบุรี!J122+ระยอง!J122+ราชบุรี!J122+ลพบุรี!J122+สระแก้ว!J122+สระบุรี!J122+สิงห์บุรี!J122+สุพรรณบุรี!J122+อ่างทอง!J122</f>
        <v>3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กาญจนบุรี!I124+จันทบุรี!I124+ฉะเชิงเทรา!I124+ชลบุรี!I124+ชัยนาท!I124+ตราด!I124+นครนายก!I124+นครปฐม!I124+ปทุมธานี!I124+ประจวบคีรีขันธ์!I124+ปราจีนบุรี!I124+พระนครศรีอยุธยา!I124+เพชรบุรี!I124+ระยอง!I124+ราชบุรี!I124+ลพบุรี!I124+สระแก้ว!I124+สระบุรี!I124+สิงห์บุรี!I124+สุพรรณบุรี!I124+อ่างทอง!I124</f>
        <v>451000</v>
      </c>
      <c r="J124" s="67">
        <f>กาญจนบุรี!J124+จันทบุรี!J124+ฉะเชิงเทรา!J124+ชลบุรี!J124+ชัยนาท!J124+ตราด!J124+นครนายก!J124+นครปฐม!J124+ปทุมธานี!J124+ประจวบคีรีขันธ์!J124+ปราจีนบุรี!J124+พระนครศรีอยุธยา!J124+เพชรบุรี!J124+ระยอง!J124+ราชบุรี!J124+ลพบุรี!J124+สระแก้ว!J124+สระบุรี!J124+สิงห์บุรี!J124+สุพรรณบุรี!J124+อ่างทอง!J124</f>
        <v>0</v>
      </c>
      <c r="K124" s="48">
        <f t="shared" ref="K124:K126" ca="1" si="13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กาญจนบุรี!I125+จันทบุรี!I125+ฉะเชิงเทรา!I125+ชลบุรี!I125+ชัยนาท!I125+ตราด!I125+นครนายก!I125+นครปฐม!I125+ปทุมธานี!I125+ประจวบคีรีขันธ์!I125+ปราจีนบุรี!I125+พระนครศรีอยุธยา!I125+เพชรบุรี!I125+ระยอง!I125+ราชบุรี!I125+ลพบุรี!I125+สระแก้ว!I125+สระบุรี!I125+สิงห์บุรี!I125+สุพรรณบุรี!I125+อ่างทอง!I125</f>
        <v>451000</v>
      </c>
      <c r="J125" s="67">
        <f>กาญจนบุรี!J125+จันทบุรี!J125+ฉะเชิงเทรา!J125+ชลบุรี!J125+ชัยนาท!J125+ตราด!J125+นครนายก!J125+นครปฐม!J125+ปทุมธานี!J125+ประจวบคีรีขันธ์!J125+ปราจีนบุรี!J125+พระนครศรีอยุธยา!J125+เพชรบุรี!J125+ระยอง!J125+ราชบุรี!J125+ลพบุรี!J125+สระแก้ว!J125+สระบุรี!J125+สิงห์บุรี!J125+สุพรรณบุรี!J125+อ่างทอง!J125</f>
        <v>0</v>
      </c>
      <c r="K125" s="48">
        <f t="shared" ca="1" si="13"/>
        <v>0</v>
      </c>
      <c r="L125" s="60"/>
      <c r="M125" s="60"/>
      <c r="N125" s="60"/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47">
        <f ca="1">กาญจนบุรี!I126+จันทบุรี!I126+ฉะเชิงเทรา!I126+ชลบุรี!I126+ชัยนาท!I126+ตราด!I126+นครนายก!I126+นครปฐม!I126+ปทุมธานี!I126+ประจวบคีรีขันธ์!I126+ปราจีนบุรี!I126+พระนครศรีอยุธยา!I126+เพชรบุรี!I126+ระยอง!I126+ราชบุรี!I126+ลพบุรี!I126+สระแก้ว!I126+สระบุรี!I126+สิงห์บุรี!I126+สุพรรณบุรี!I126+อ่างทอง!I126</f>
        <v>60</v>
      </c>
      <c r="J126" s="67">
        <f>กาญจนบุรี!J126+จันทบุรี!J126+ฉะเชิงเทรา!J126+ชลบุรี!J126+ชัยนาท!J126+ตราด!J126+นครนายก!J126+นครปฐม!J126+ปทุมธานี!J126+ประจวบคีรีขันธ์!J126+ปราจีนบุรี!J126+พระนครศรีอยุธยา!J126+เพชรบุรี!J126+ระยอง!J126+ราชบุรี!J126+ลพบุรี!J126+สระแก้ว!J126+สระบุรี!J126+สิงห์บุรี!J126+สุพรรณบุรี!J126+อ่างทอง!J126</f>
        <v>15</v>
      </c>
      <c r="K126" s="48">
        <f t="shared" ca="1" si="13"/>
        <v>25</v>
      </c>
      <c r="L126" s="60"/>
      <c r="M126" s="60"/>
      <c r="N126" s="60"/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f>กาญจนบุรี!J127+จันทบุรี!J127+ฉะเชิงเทรา!J127+ชลบุรี!J127+ชัยนาท!J127+ตราด!J127+นครนายก!J127+นครปฐม!J127+ปทุมธานี!J127+ประจวบคีรีขันธ์!J127+ปราจีนบุรี!J127+พระนครศรีอยุธยา!J127+เพชรบุรี!J127+ระยอง!J127+ราชบุรี!J127+ลพบุรี!J127+สระแก้ว!J127+สระบุรี!J127+สิงห์บุรี!J127+สุพรรณบุรี!J127+อ่างทอง!J127</f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f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ca="1">กาญจนบุรี!I129+จันทบุรี!I129+ฉะเชิงเทรา!I129+ชลบุรี!I129+ชัยนาท!I129+ตราด!I129+นครนายก!I129+นครปฐม!I129+ปทุมธานี!I129+ประจวบคีรีขันธ์!I129+ปราจีนบุรี!I129+พระนครศรีอยุธยา!I129+เพชรบุรี!I129+ระยอง!I129+ราชบุรี!I129+ลพบุรี!I129+สระแก้ว!I129+สระบุรี!I129+สิงห์บุรี!I129+สุพรรณบุรี!I129+อ่างทอง!I129</f>
        <v>380</v>
      </c>
      <c r="J129" s="149">
        <f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30</v>
      </c>
      <c r="K129" s="150">
        <f ca="1">IF(I129&gt;0,J129*100/I129,0)</f>
        <v>7.8947368421052628</v>
      </c>
      <c r="L129" s="147">
        <f ca="1">กาญจนบุรี!L129+จันทบุรี!L129+ฉะเชิงเทรา!L129+ชลบุรี!L129+ชัยนาท!L129+ตราด!L129+นครนายก!L129+นครปฐม!L129+ปทุมธานี!L129+ประจวบคีรีขันธ์!L129+ปราจีนบุรี!L129+พระนครศรีอยุธยา!L129+เพชรบุรี!L129+ระยอง!L129+ราชบุรี!L129+ลพบุรี!L129+สระแก้ว!L129+สระบุรี!L129+สิงห์บุรี!L129+สุพรรณบุรี!L129+อ่างทอง!L129</f>
        <v>1830700</v>
      </c>
      <c r="M129" s="147">
        <f>กาญจนบุรี!M129+จันทบุรี!M129+ฉะเชิงเทรา!M129+ชลบุรี!M129+ชัยนาท!M129+ตราด!M129+นครนายก!M129+นครปฐม!M129+ปทุมธานี!M129+ประจวบคีรีขันธ์!M129+ปราจีนบุรี!M129+พระนครศรีอยุธยา!M129+เพชรบุรี!M129+ระยอง!M129+ราชบุรี!M129+ลพบุรี!M129+สระแก้ว!M129+สระบุรี!M129+สิงห์บุรี!M129+สุพรรณบุรี!M129+อ่างทอง!M129</f>
        <v>67755</v>
      </c>
      <c r="N129" s="147">
        <f t="shared" ref="N129:N132" ca="1" si="14">+IF(L129&gt;0,M129*100/L129,0)</f>
        <v>3.7010433167640793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f>กาญจนบุรี!L130+จันทบุรี!L130+ฉะเชิงเทรา!L130+ชลบุรี!L130+ชัยนาท!L130+ตราด!L130+นครนายก!L130+นครปฐม!L130+ปทุมธานี!L130+ประจวบคีรีขันธ์!L130+ปราจีนบุรี!L130+พระนครศรีอยุธยา!L130+เพชรบุรี!L130+ระยอง!L130+ราชบุรี!L130+ลพบุรี!L130+สระแก้ว!L130+สระบุรี!L130+สิงห์บุรี!L130+สุพรรณบุรี!L130+อ่างทอง!L130</f>
        <v>0</v>
      </c>
      <c r="M130" s="49">
        <f>กาญจนบุรี!M130+จันทบุรี!M130+ฉะเชิงเทรา!M130+ชลบุรี!M130+ชัยนาท!M130+ตราด!M130+นครนายก!M130+นครปฐม!M130+ปทุมธานี!M130+ประจวบคีรีขันธ์!M130+ปราจีนบุรี!M130+พระนครศรีอยุธยา!M130+เพชรบุรี!M130+ระยอง!M130+ราชบุรี!M130+ลพบุรี!M130+สระแก้ว!M130+สระบุรี!M130+สิงห์บุรี!M130+สุพรรณบุรี!M130+อ่างทอง!M130</f>
        <v>0</v>
      </c>
      <c r="N130" s="49">
        <f t="shared" si="14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กาญจนบุรี!L131+จันทบุรี!L131+ฉะเชิงเทรา!L131+ชลบุรี!L131+ชัยนาท!L131+ตราด!L131+นครนายก!L131+นครปฐม!L131+ปทุมธานี!L131+ประจวบคีรีขันธ์!L131+ปราจีนบุรี!L131+พระนครศรีอยุธยา!L131+เพชรบุรี!L131+ระยอง!L131+ราชบุรี!L131+ลพบุรี!L131+สระแก้ว!L131+สระบุรี!L131+สิงห์บุรี!L131+สุพรรณบุรี!L131+อ่างทอง!L131</f>
        <v>1830700</v>
      </c>
      <c r="M131" s="49">
        <f>กาญจนบุรี!M131+จันทบุรี!M131+ฉะเชิงเทรา!M131+ชลบุรี!M131+ชัยนาท!M131+ตราด!M131+นครนายก!M131+นครปฐม!M131+ปทุมธานี!M131+ประจวบคีรีขันธ์!M131+ปราจีนบุรี!M131+พระนครศรีอยุธยา!M131+เพชรบุรี!M131+ระยอง!M131+ราชบุรี!M131+ลพบุรี!M131+สระแก้ว!M131+สระบุรี!M131+สิงห์บุรี!M131+สุพรรณบุรี!M131+อ่างทอง!M131</f>
        <v>67755</v>
      </c>
      <c r="N131" s="49">
        <f t="shared" ca="1" si="14"/>
        <v>3.7010433167640793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กาญจนบุรี!L132+จันทบุรี!L132+ฉะเชิงเทรา!L132+ชลบุรี!L132+ชัยนาท!L132+ตราด!L132+นครนายก!L132+นครปฐม!L132+ปทุมธานี!L132+ประจวบคีรีขันธ์!L132+ปราจีนบุรี!L132+พระนครศรีอยุธยา!L132+เพชรบุรี!L132+ระยอง!L132+ราชบุรี!L132+ลพบุรี!L132+สระแก้ว!L132+สระบุรี!L132+สิงห์บุรี!L132+สุพรรณบุรี!L132+อ่างทอง!L132</f>
        <v>1830700</v>
      </c>
      <c r="M132" s="53">
        <f>กาญจนบุรี!M132+จันทบุรี!M132+ฉะเชิงเทรา!M132+ชลบุรี!M132+ชัยนาท!M132+ตราด!M132+นครนายก!M132+นครปฐม!M132+ปทุมธานี!M132+ประจวบคีรีขันธ์!M132+ปราจีนบุรี!M132+พระนครศรีอยุธยา!M132+เพชรบุรี!M132+ระยอง!M132+ราชบุรี!M132+ลพบุรี!M132+สระแก้ว!M132+สระบุรี!M132+สิงห์บุรี!M132+สุพรรณบุรี!M132+อ่างทอง!M132</f>
        <v>67755</v>
      </c>
      <c r="N132" s="52">
        <f t="shared" ca="1" si="14"/>
        <v>3.7010433167640793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f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3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f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6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f>กาญจนบุรี!J136+จันทบุรี!J136+ฉะเชิงเทรา!J136+ชลบุรี!J136+ชัยนาท!J136+ตราด!J136+นครนายก!J136+นครปฐม!J136+ปทุมธานี!J136+ประจวบคีรีขันธ์!J136+ปราจีนบุรี!J136+พระนครศรีอยุธยา!J136+เพชรบุรี!J136+ระยอง!J136+ราชบุรี!J136+ลพบุรี!J136+สระแก้ว!J136+สระบุรี!J136+สิงห์บุรี!J136+สุพรรณบุรี!J136+อ่างทอง!J136</f>
        <v>4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f>กาญจนบุรี!J137+จันทบุรี!J137+ฉะเชิงเทรา!J137+ชลบุรี!J137+ชัยนาท!J137+ตราด!J137+นครนายก!J137+นครปฐม!J137+ปทุมธานี!J137+ประจวบคีรีขันธ์!J137+ปราจีนบุรี!J137+พระนครศรีอยุธยา!J137+เพชรบุรี!J137+ระยอง!J137+ราชบุรี!J137+ลพบุรี!J137+สระแก้ว!J137+สระบุรี!J137+สิงห์บุรี!J137+สุพรรณบุรี!J137+อ่างทอง!J137</f>
        <v>3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380</v>
      </c>
      <c r="J138" s="153">
        <f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30</v>
      </c>
      <c r="K138" s="79">
        <f ca="1">IF(I138&gt;0,J138*100/I138,0)</f>
        <v>7.8947368421052628</v>
      </c>
      <c r="L138" s="60"/>
      <c r="M138" s="60"/>
      <c r="N138" s="60"/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47">
        <f ca="1">กาญจนบุรี!I140+จันทบุรี!I140+ฉะเชิงเทรา!I140+ชลบุรี!I140+ชัยนาท!I140+ตราด!I140+นครนายก!I140+นครปฐม!I140+ปทุมธานี!I140+ประจวบคีรีขันธ์!I140+ปราจีนบุรี!I140+พระนครศรีอยุธยา!I140+เพชรบุรี!I140+ระยอง!I140+ราชบุรี!I140+ลพบุรี!I140+สระแก้ว!I140+สระบุรี!I140+สิงห์บุรี!I140+สุพรรณบุรี!I140+อ่างทอง!I140</f>
        <v>130</v>
      </c>
      <c r="J140" s="67">
        <f>กาญจนบุรี!J140+จันทบุรี!J140+ฉะเชิงเทรา!J140+ชลบุรี!J140+ชัยนาท!J140+ตราด!J140+นครนายก!J140+นครปฐม!J140+ปทุมธานี!J140+ประจวบคีรีขันธ์!J140+ปราจีนบุรี!J140+พระนครศรีอยุธยา!J140+เพชรบุรี!J140+ระยอง!J140+ราชบุรี!J140+ลพบุรี!J140+สระแก้ว!J140+สระบุรี!J140+สิงห์บุรี!J140+สุพรรณบุรี!J140+อ่างทอง!J140</f>
        <v>0</v>
      </c>
      <c r="K140" s="48">
        <f t="shared" ref="K140:K141" ca="1" si="15">IF(I140&gt;0,J140*100/I140,0)</f>
        <v>0</v>
      </c>
      <c r="L140" s="60"/>
      <c r="M140" s="60"/>
      <c r="N140" s="60"/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47">
        <f ca="1">กาญจนบุรี!I141+จันทบุรี!I141+ฉะเชิงเทรา!I141+ชลบุรี!I141+ชัยนาท!I141+ตราด!I141+นครนายก!I141+นครปฐม!I141+ปทุมธานี!I141+ประจวบคีรีขันธ์!I141+ปราจีนบุรี!I141+พระนครศรีอยุธยา!I141+เพชรบุรี!I141+ระยอง!I141+ราชบุรี!I141+ลพบุรี!I141+สระแก้ว!I141+สระบุรี!I141+สิงห์บุรี!I141+สุพรรณบุรี!I141+อ่างทอง!I141</f>
        <v>0</v>
      </c>
      <c r="J141" s="67">
        <f>กาญจนบุรี!J141+จันทบุรี!J141+ฉะเชิงเทรา!J141+ชลบุรี!J141+ชัยนาท!J141+ตราด!J141+นครนายก!J141+นครปฐม!J141+ปทุมธานี!J141+ประจวบคีรีขันธ์!J141+ปราจีนบุรี!J141+พระนครศรีอยุธยา!J141+เพชรบุรี!J141+ระยอง!J141+ราชบุรี!J141+ลพบุรี!J141+สระแก้ว!J141+สระบุรี!J141+สิงห์บุรี!J141+สุพรรณบุรี!J141+อ่างทอง!J141</f>
        <v>0</v>
      </c>
      <c r="K141" s="48">
        <f t="shared" ca="1" si="15"/>
        <v>0</v>
      </c>
      <c r="L141" s="60"/>
      <c r="M141" s="60"/>
      <c r="N141" s="60"/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f>กาญจนบุรี!J142+จันทบุรี!J142+ฉะเชิงเทรา!J142+ชลบุรี!J142+ชัยนาท!J142+ตราด!J142+นครนายก!J142+นครปฐม!J142+ปทุมธานี!J142+ประจวบคีรีขันธ์!J142+ปราจีนบุรี!J142+พระนครศรีอยุธยา!J142+เพชรบุรี!J142+ระยอง!J142+ราชบุรี!J142+ลพบุรี!J142+สระแก้ว!J142+สระบุรี!J142+สิงห์บุรี!J142+สุพรรณบุรี!J142+อ่างทอง!J142</f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f>กาญจนบุรี!J143+จันทบุรี!J143+ฉะเชิงเทรา!J143+ชลบุรี!J143+ชัยนาท!J143+ตราด!J143+นครนายก!J143+นครปฐม!J143+ปทุมธานี!J143+ประจวบคีรีขันธ์!J143+ปราจีนบุรี!J143+พระนครศรีอยุธยา!J143+เพชรบุรี!J143+ระยอง!J143+ราชบุรี!J143+ลพบุรี!J143+สระแก้ว!J143+สระบุรี!J143+สิงห์บุรี!J143+สุพรรณบุรี!J143+อ่างทอง!J143</f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ca="1">กาญจนบุรี!I144+จันทบุรี!I144+ฉะเชิงเทรา!I144+ชลบุรี!I144+ชัยนาท!I144+ตราด!I144+นครนายก!I144+นครปฐม!I144+ปทุมธานี!I144+ประจวบคีรีขันธ์!I144+ปราจีนบุรี!I144+พระนครศรีอยุธยา!I144+เพชรบุรี!I144+ระยอง!I144+ราชบุรี!I144+ลพบุรี!I144+สระแก้ว!I144+สระบุรี!I144+สิงห์บุรี!I144+สุพรรณบุรี!I144+อ่างทอง!I144</f>
        <v>256</v>
      </c>
      <c r="J144" s="136">
        <f>กาญจนบุรี!J144+จันทบุรี!J144+ฉะเชิงเทรา!J144+ชลบุรี!J144+ชัยนาท!J144+ตราด!J144+นครนายก!J144+นครปฐม!J144+ปทุมธานี!J144+ประจวบคีรีขันธ์!J144+ปราจีนบุรี!J144+พระนครศรีอยุธยา!J144+เพชรบุรี!J144+ระยอง!J144+ราชบุรี!J144+ลพบุรี!J144+สระแก้ว!J144+สระบุรี!J144+สิงห์บุรี!J144+สุพรรณบุรี!J144+อ่างทอง!J144</f>
        <v>121</v>
      </c>
      <c r="K144" s="137">
        <f ca="1">IF(I144&gt;0,J144*100/I144,0)</f>
        <v>47.265625</v>
      </c>
      <c r="L144" s="138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367440</v>
      </c>
      <c r="M144" s="138">
        <f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135150</v>
      </c>
      <c r="N144" s="137">
        <f ca="1">IF(L144&gt;0,M144*100/L144,0)</f>
        <v>36.78151534944481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f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0</v>
      </c>
      <c r="M145" s="49">
        <f>กาญจนบุรี!M145+จันทบุรี!M145+ฉะเชิงเทรา!M145+ชลบุรี!M145+ชัยนาท!M145+ตราด!M145+นครนายก!M145+นครปฐม!M145+ปทุมธานี!M145+ประจวบคีรีขันธ์!M145+ปราจีนบุรี!M145+พระนครศรีอยุธยา!M145+เพชรบุรี!M145+ระยอง!M145+ราชบุรี!M145+ลพบุรี!M145+สระแก้ว!M145+สระบุรี!M145+สิงห์บุรี!M145+สุพรรณบุรี!M145+อ่างทอง!M145</f>
        <v>0</v>
      </c>
      <c r="N145" s="49">
        <f t="shared" ref="N145:N148" si="16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367440</v>
      </c>
      <c r="M146" s="49">
        <f>กาญจนบุรี!M146+จันทบุรี!M146+ฉะเชิงเทรา!M146+ชลบุรี!M146+ชัยนาท!M146+ตราด!M146+นครนายก!M146+นครปฐม!M146+ปทุมธานี!M146+ประจวบคีรีขันธ์!M146+ปราจีนบุรี!M146+พระนครศรีอยุธยา!M146+เพชรบุรี!M146+ระยอง!M146+ราชบุรี!M146+ลพบุรี!M146+สระแก้ว!M146+สระบุรี!M146+สิงห์บุรี!M146+สุพรรณบุรี!M146+อ่างทอง!M146</f>
        <v>135150</v>
      </c>
      <c r="N146" s="49">
        <f t="shared" ca="1" si="16"/>
        <v>36.78151534944481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52">
        <f>กาญจนบุรี!M147+จันทบุรี!M147+ฉะเชิงเทรา!M147+ชลบุรี!M147+ชัยนาท!M147+ตราด!M147+นครนายก!M147+นครปฐม!M147+ปทุมธานี!M147+ประจวบคีรีขันธ์!M147+ปราจีนบุรี!M147+พระนครศรีอยุธยา!M147+เพชรบุรี!M147+ระยอง!M147+ราชบุรี!M147+ลพบุรี!M147+สระแก้ว!M147+สระบุรี!M147+สิงห์บุรี!M147+สุพรรณบุรี!M147+อ่างทอง!M147</f>
        <v>0</v>
      </c>
      <c r="N147" s="52">
        <f t="shared" si="16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367440</v>
      </c>
      <c r="M148" s="53">
        <f>กาญจนบุรี!M148+จันทบุรี!M148+ฉะเชิงเทรา!M148+ชลบุรี!M148+ชัยนาท!M148+ตราด!M148+นครนายก!M148+นครปฐม!M148+ปทุมธานี!M148+ประจวบคีรีขันธ์!M148+ปราจีนบุรี!M148+พระนครศรีอยุธยา!M148+เพชรบุรี!M148+ระยอง!M148+ราชบุรี!M148+ลพบุรี!M148+สระแก้ว!M148+สระบุรี!M148+สิงห์บุรี!M148+สุพรรณบุรี!M148+อ่างทอง!M148</f>
        <v>135150</v>
      </c>
      <c r="N148" s="52">
        <f t="shared" ca="1" si="16"/>
        <v>36.78151534944481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256</v>
      </c>
      <c r="J149" s="136">
        <f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121</v>
      </c>
      <c r="K149" s="137">
        <f ca="1">IF(I149&gt;0,J149*100/I149,0)</f>
        <v>47.265625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f>กาญจนบุรี!J151+จันทบุรี!J151+ฉะเชิงเทรา!J151+ชลบุรี!J151+ชัยนาท!J151+ตราด!J151+นครนายก!J151+นครปฐม!J151+ปทุมธานี!J151+ประจวบคีรีขันธ์!J151+ปราจีนบุรี!J151+พระนครศรีอยุธยา!J151+เพชรบุรี!J151+ระยอง!J151+ราชบุรี!J151+ลพบุรี!J151+สระแก้ว!J151+สระบุรี!J151+สิงห์บุรี!J151+สุพรรณบุรี!J151+อ่างทอง!J151</f>
        <v>4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f>กาญจนบุรี!J152+จันทบุรี!J152+ฉะเชิงเทรา!J152+ชลบุรี!J152+ชัยนาท!J152+ตราด!J152+นครนายก!J152+นครปฐม!J152+ปทุมธานี!J152+ประจวบคีรีขันธ์!J152+ปราจีนบุรี!J152+พระนครศรีอยุธยา!J152+เพชรบุรี!J152+ระยอง!J152+ราชบุรี!J152+ลพบุรี!J152+สระแก้ว!J152+สระบุรี!J152+สิงห์บุรี!J152+สุพรรณบุรี!J152+อ่างทอง!J152</f>
        <v>10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f>กาญจนบุรี!J153+จันทบุรี!J153+ฉะเชิงเทรา!J153+ชลบุรี!J153+ชัยนาท!J153+ตราด!J153+นครนายก!J153+นครปฐม!J153+ปทุมธานี!J153+ประจวบคีรีขันธ์!J153+ปราจีนบุรี!J153+พระนครศรีอยุธยา!J153+เพชรบุรี!J153+ระยอง!J153+ราชบุรี!J153+ลพบุรี!J153+สระแก้ว!J153+สระบุรี!J153+สิงห์บุรี!J153+สุพรรณบุรี!J153+อ่างทอง!J153</f>
        <v>10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f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8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80</v>
      </c>
      <c r="H155" s="65" t="s">
        <v>16</v>
      </c>
      <c r="I155" s="66">
        <f ca="1">กาญจนบุรี!I155+จันทบุรี!I155+ฉะเชิงเทรา!I155+ชลบุรี!I155+ชัยนาท!I155+ตราด!I155+นครนายก!I155+นครปฐม!I155+ปทุมธานี!I155+ประจวบคีรีขันธ์!I155+ปราจีนบุรี!I155+พระนครศรีอยุธยา!I155+เพชรบุรี!I155+ระยอง!I155+ราชบุรี!I155+ลพบุรี!I155+สระแก้ว!I155+สระบุรี!I155+สิงห์บุรี!I155+สุพรรณบุรี!I155+อ่างทอง!I155</f>
        <v>256</v>
      </c>
      <c r="J155" s="67">
        <f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121</v>
      </c>
      <c r="K155" s="48">
        <f ca="1">IF(I155&gt;0,J155*100/I155,0)</f>
        <v>47.265625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f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f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0</v>
      </c>
      <c r="J158" s="136">
        <f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7">
        <f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7">
        <f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7">
        <f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7">
        <f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f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0</v>
      </c>
      <c r="J164" s="67">
        <f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7">
        <f>กาญจนบุรี!J165+จันทบุรี!J165+ฉะเชิงเทรา!J165+ชลบุรี!J165+ชัยนาท!J165+ตราด!J165+นครนายก!J165+นครปฐม!J165+ปทุมธานี!J165+ประจวบคีรีขันธ์!J165+ปราจีนบุรี!J165+พระนครศรีอยุธยา!J165+เพชรบุรี!J165+ระยอง!J165+ราชบุรี!J165+ลพบุรี!J165+สระแก้ว!J165+สระบุรี!J165+สิงห์บุรี!J165+สุพรรณบุรี!J165+อ่างทอง!J165</f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112">
        <f>กาญจนบุรี!J166+จันทบุรี!J166+ฉะเชิงเทรา!J166+ชลบุรี!J166+ชัยนาท!J166+ตราด!J166+นครนายก!J166+นครปฐม!J166+ปทุมธานี!J166+ประจวบคีรีขันธ์!J166+ปราจีนบุรี!J166+พระนครศรีอยุธยา!J166+เพชรบุรี!J166+ระยอง!J166+ราชบุรี!J166+ลพบุรี!J166+สระแก้ว!J166+สระบุรี!J166+สิงห์บุรี!J166+สุพรรณบุรี!J166+อ่างทอง!J166</f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กาญจนบุรี!I169+จันทบุรี!I169+ฉะเชิงเทรา!I169+ชลบุรี!I169+ชัยนาท!I169+ตราด!I169+นครนายก!I169+นครปฐม!I169+ปทุมธานี!I169+ประจวบคีรีขันธ์!I169+ปราจีนบุรี!I169+พระนครศรีอยุธยา!I169+เพชรบุรี!I169+ระยอง!I169+ราชบุรี!I169+ลพบุรี!I169+สระแก้ว!I169+สระบุรี!I169+สิงห์บุรี!I169+สุพรรณบุรี!I169+อ่างทอง!I169</f>
        <v>195</v>
      </c>
      <c r="J169" s="177">
        <f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78">
        <f ca="1">IF(I169&gt;0,J169*100/I169,0)</f>
        <v>0</v>
      </c>
      <c r="L169" s="179">
        <f ca="1">กาญจนบุรี!L169+จันทบุรี!L169+ฉะเชิงเทรา!L169+ชลบุรี!L169+ชัยนาท!L169+ตราด!L169+นครนายก!L169+นครปฐม!L169+ปทุมธานี!L169+ประจวบคีรีขันธ์!L169+ปราจีนบุรี!L169+พระนครศรีอยุธยา!L169+เพชรบุรี!L169+ระยอง!L169+ราชบุรี!L169+ลพบุรี!L169+สระแก้ว!L169+สระบุรี!L169+สิงห์บุรี!L169+สุพรรณบุรี!L169+อ่างทอง!L169</f>
        <v>1135900</v>
      </c>
      <c r="M169" s="179">
        <f>กาญจนบุรี!M169+จันทบุรี!M169+ฉะเชิงเทรา!M169+ชลบุรี!M169+ชัยนาท!M169+ตราด!M169+นครนายก!M169+นครปฐม!M169+ปทุมธานี!M169+ประจวบคีรีขันธ์!M169+ปราจีนบุรี!M169+พระนครศรีอยุธยา!M169+เพชรบุรี!M169+ระยอง!M169+ราชบุรี!M169+ลพบุรี!M169+สระแก้ว!M169+สระบุรี!M169+สิงห์บุรี!M169+สุพรรณบุรี!M169+อ่างทอง!M169</f>
        <v>10360</v>
      </c>
      <c r="N169" s="178">
        <f ca="1">IF(L169&gt;0,M169*100/L169,0)</f>
        <v>0.91205211726384361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f>กาญจนบุรี!L170+จันทบุรี!L170+ฉะเชิงเทรา!L170+ชลบุรี!L170+ชัยนาท!L170+ตราด!L170+นครนายก!L170+นครปฐม!L170+ปทุมธานี!L170+ประจวบคีรีขันธ์!L170+ปราจีนบุรี!L170+พระนครศรีอยุธยา!L170+เพชรบุรี!L170+ระยอง!L170+ราชบุรี!L170+ลพบุรี!L170+สระแก้ว!L170+สระบุรี!L170+สิงห์บุรี!L170+สุพรรณบุรี!L170+อ่างทอง!L170</f>
        <v>0</v>
      </c>
      <c r="M170" s="49">
        <f>กาญจนบุรี!M170+จันทบุรี!M170+ฉะเชิงเทรา!M170+ชลบุรี!M170+ชัยนาท!M170+ตราด!M170+นครนายก!M170+นครปฐม!M170+ปทุมธานี!M170+ประจวบคีรีขันธ์!M170+ปราจีนบุรี!M170+พระนครศรีอยุธยา!M170+เพชรบุรี!M170+ระยอง!M170+ราชบุรี!M170+ลพบุรี!M170+สระแก้ว!M170+สระบุรี!M170+สิงห์บุรี!M170+สุพรรณบุรี!M170+อ่างทอง!M170</f>
        <v>0</v>
      </c>
      <c r="N170" s="49">
        <f t="shared" ref="N170:N173" si="17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ca="1">กาญจนบุรี!L171+จันทบุรี!L171+ฉะเชิงเทรา!L171+ชลบุรี!L171+ชัยนาท!L171+ตราด!L171+นครนายก!L171+นครปฐม!L171+ปทุมธานี!L171+ประจวบคีรีขันธ์!L171+ปราจีนบุรี!L171+พระนครศรีอยุธยา!L171+เพชรบุรี!L171+ระยอง!L171+ราชบุรี!L171+ลพบุรี!L171+สระแก้ว!L171+สระบุรี!L171+สิงห์บุรี!L171+สุพรรณบุรี!L171+อ่างทอง!L171</f>
        <v>1135900</v>
      </c>
      <c r="M171" s="49">
        <f>กาญจนบุรี!M171+จันทบุรี!M171+ฉะเชิงเทรา!M171+ชลบุรี!M171+ชัยนาท!M171+ตราด!M171+นครนายก!M171+นครปฐม!M171+ปทุมธานี!M171+ประจวบคีรีขันธ์!M171+ปราจีนบุรี!M171+พระนครศรีอยุธยา!M171+เพชรบุรี!M171+ระยอง!M171+ราชบุรี!M171+ลพบุรี!M171+สระแก้ว!M171+สระบุรี!M171+สิงห์บุรี!M171+สุพรรณบุรี!M171+อ่างทอง!M171</f>
        <v>10360</v>
      </c>
      <c r="N171" s="49">
        <f t="shared" ca="1" si="17"/>
        <v>0.91205211726384361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กาญจนบุรี!L172+จันทบุรี!L172+ฉะเชิงเทรา!L172+ชลบุรี!L172+ชัยนาท!L172+ตราด!L172+นครนายก!L172+นครปฐม!L172+ปทุมธานี!L172+ประจวบคีรีขันธ์!L172+ปราจีนบุรี!L172+พระนครศรีอยุธยา!L172+เพชรบุรี!L172+ระยอง!L172+ราชบุรี!L172+ลพบุรี!L172+สระแก้ว!L172+สระบุรี!L172+สิงห์บุรี!L172+สุพรรณบุรี!L172+อ่างทอง!L172</f>
        <v>0</v>
      </c>
      <c r="M172" s="53">
        <f>กาญจนบุรี!M172+จันทบุรี!M172+ฉะเชิงเทรา!M172+ชลบุรี!M172+ชัยนาท!M172+ตราด!M172+นครนายก!M172+นครปฐม!M172+ปทุมธานี!M172+ประจวบคีรีขันธ์!M172+ปราจีนบุรี!M172+พระนครศรีอยุธยา!M172+เพชรบุรี!M172+ระยอง!M172+ราชบุรี!M172+ลพบุรี!M172+สระแก้ว!M172+สระบุรี!M172+สิงห์บุรี!M172+สุพรรณบุรี!M172+อ่างทอง!M172</f>
        <v>0</v>
      </c>
      <c r="N172" s="52">
        <f t="shared" ca="1" si="17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กาญจนบุรี!L173+จันทบุรี!L173+ฉะเชิงเทรา!L173+ชลบุรี!L173+ชัยนาท!L173+ตราด!L173+นครนายก!L173+นครปฐม!L173+ปทุมธานี!L173+ประจวบคีรีขันธ์!L173+ปราจีนบุรี!L173+พระนครศรีอยุธยา!L173+เพชรบุรี!L173+ระยอง!L173+ราชบุรี!L173+ลพบุรี!L173+สระแก้ว!L173+สระบุรี!L173+สิงห์บุรี!L173+สุพรรณบุรี!L173+อ่างทอง!L173</f>
        <v>1135900</v>
      </c>
      <c r="M173" s="53">
        <f>กาญจนบุรี!M173+จันทบุรี!M173+ฉะเชิงเทรา!M173+ชลบุรี!M173+ชัยนาท!M173+ตราด!M173+นครนายก!M173+นครปฐม!M173+ปทุมธานี!M173+ประจวบคีรีขันธ์!M173+ปราจีนบุรี!M173+พระนครศรีอยุธยา!M173+เพชรบุรี!M173+ระยอง!M173+ราชบุรี!M173+ลพบุรี!M173+สระแก้ว!M173+สระบุรี!M173+สิงห์บุรี!M173+สุพรรณบุรี!M173+อ่างทอง!M173</f>
        <v>10360</v>
      </c>
      <c r="N173" s="52">
        <f t="shared" ca="1" si="17"/>
        <v>0.91205211726384361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f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6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f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2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f>กาญจนบุรี!J177+จันทบุรี!J177+ฉะเชิงเทรา!J177+ชลบุรี!J177+ชัยนาท!J177+ตราด!J177+นครนายก!J177+นครปฐม!J177+ปทุมธานี!J177+ประจวบคีรีขันธ์!J177+ปราจีนบุรี!J177+พระนครศรีอยุธยา!J177+เพชรบุรี!J177+ระยอง!J177+ราชบุรี!J177+ลพบุรี!J177+สระแก้ว!J177+สระบุรี!J177+สิงห์บุรี!J177+สุพรรณบุรี!J177+อ่างทอง!J177</f>
        <v>2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f>กาญจนบุรี!J178+จันทบุรี!J178+ฉะเชิงเทรา!J178+ชลบุรี!J178+ชัยนาท!J178+ตราด!J178+นครนายก!J178+นครปฐม!J178+ปทุมธานี!J178+ประจวบคีรีขันธ์!J178+ปราจีนบุรี!J178+พระนครศรีอยุธยา!J178+เพชรบุรี!J178+ระยอง!J178+ราชบุรี!J178+ลพบุรี!J178+สระแก้ว!J178+สระบุรี!J178+สิงห์บุรี!J178+สุพรรณบุรี!J178+อ่างทอง!J178</f>
        <v>2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กาญจนบุรี!I179+จันทบุรี!I179+ฉะเชิงเทรา!I179+ชลบุรี!I179+ชัยนาท!I179+ตราด!I179+นครนายก!I179+นครปฐม!I179+ปทุมธานี!I179+ประจวบคีรีขันธ์!I179+ปราจีนบุรี!I179+พระนครศรีอยุธยา!I179+เพชรบุรี!I179+ระยอง!I179+ราชบุรี!I179+ลพบุรี!I179+สระแก้ว!I179+สระบุรี!I179+สิงห์บุรี!I179+สุพรรณบุรี!I179+อ่างทอง!I179</f>
        <v>9</v>
      </c>
      <c r="J179" s="67">
        <f>กาญจนบุรี!J179+จันทบุรี!J179+ฉะเชิงเทรา!J179+ชลบุรี!J179+ชัยนาท!J179+ตราด!J179+นครนายก!J179+นครปฐม!J179+ปทุมธานี!J179+ประจวบคีรีขันธ์!J179+ปราจีนบุรี!J179+พระนครศรีอยุธยา!J179+เพชรบุรี!J179+ระยอง!J179+ราชบุรี!J179+ลพบุรี!J179+สระแก้ว!J179+สระบุรี!J179+สิงห์บุรี!J179+สุพรรณบุรี!J179+อ่างทอง!J179</f>
        <v>0</v>
      </c>
      <c r="K179" s="48">
        <f t="shared" ref="K179:K182" ca="1" si="18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กาญจนบุรี!I180+จันทบุรี!I180+ฉะเชิงเทรา!I180+ชลบุรี!I180+ชัยนาท!I180+ตราด!I180+นครนายก!I180+นครปฐม!I180+ปทุมธานี!I180+ประจวบคีรีขันธ์!I180+ปราจีนบุรี!I180+พระนครศรีอยุธยา!I180+เพชรบุรี!I180+ระยอง!I180+ราชบุรี!I180+ลพบุรี!I180+สระแก้ว!I180+สระบุรี!I180+สิงห์บุรี!I180+สุพรรณบุรี!I180+อ่างทอง!I180</f>
        <v>195</v>
      </c>
      <c r="J180" s="67">
        <f>กาญจนบุรี!J180+จันทบุรี!J180+ฉะเชิงเทรา!J180+ชลบุรี!J180+ชัยนาท!J180+ตราด!J180+นครนายก!J180+นครปฐม!J180+ปทุมธานี!J180+ประจวบคีรีขันธ์!J180+ปราจีนบุรี!J180+พระนครศรีอยุธยา!J180+เพชรบุรี!J180+ระยอง!J180+ราชบุรี!J180+ลพบุรี!J180+สระแก้ว!J180+สระบุรี!J180+สิงห์บุรี!J180+สุพรรณบุรี!J180+อ่างทอง!J180</f>
        <v>0</v>
      </c>
      <c r="K180" s="48">
        <f t="shared" ca="1" si="18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กาญจนบุรี!I181+จันทบุรี!I181+ฉะเชิงเทรา!I181+ชลบุรี!I181+ชัยนาท!I181+ตราด!I181+นครนายก!I181+นครปฐม!I181+ปทุมธานี!I181+ประจวบคีรีขันธ์!I181+ปราจีนบุรี!I181+พระนครศรีอยุธยา!I181+เพชรบุรี!I181+ระยอง!I181+ราชบุรี!I181+ลพบุรี!I181+สระแก้ว!I181+สระบุรี!I181+สิงห์บุรี!I181+สุพรรณบุรี!I181+อ่างทอง!I181</f>
        <v>195</v>
      </c>
      <c r="J181" s="67">
        <f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48">
        <f t="shared" ca="1" si="18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47">
        <f ca="1">กาญจนบุรี!I182+จันทบุรี!I182+ฉะเชิงเทรา!I182+ชลบุรี!I182+ชัยนาท!I182+ตราด!I182+นครนายก!I182+นครปฐม!I182+ปทุมธานี!I182+ประจวบคีรีขันธ์!I182+ปราจีนบุรี!I182+พระนครศรีอยุธยา!I182+เพชรบุรี!I182+ระยอง!I182+ราชบุรี!I182+ลพบุรี!I182+สระแก้ว!I182+สระบุรี!I182+สิงห์บุรี!I182+สุพรรณบุรี!I182+อ่างทอง!I182</f>
        <v>9</v>
      </c>
      <c r="J182" s="67">
        <f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0</v>
      </c>
      <c r="K182" s="48">
        <f t="shared" ca="1" si="18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f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f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205</v>
      </c>
      <c r="J185" s="177">
        <f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0</v>
      </c>
      <c r="K185" s="178">
        <f ca="1">IF(I185&gt;0,J185*100/I185,0)</f>
        <v>0</v>
      </c>
      <c r="L185" s="179">
        <f ca="1">กาญจนบุรี!L185+จันทบุรี!L185+ฉะเชิงเทรา!L185+ชลบุรี!L185+ชัยนาท!L185+ตราด!L185+นครนายก!L185+นครปฐม!L185+ปทุมธานี!L185+ประจวบคีรีขันธ์!L185+ปราจีนบุรี!L185+พระนครศรีอยุธยา!L185+เพชรบุรี!L185+ระยอง!L185+ราชบุรี!L185+ลพบุรี!L185+สระแก้ว!L185+สระบุรี!L185+สิงห์บุรี!L185+สุพรรณบุรี!L185+อ่างทอง!L185</f>
        <v>1266900</v>
      </c>
      <c r="M185" s="179">
        <f>กาญจนบุรี!M185+จันทบุรี!M185+ฉะเชิงเทรา!M185+ชลบุรี!M185+ชัยนาท!M185+ตราด!M185+นครนายก!M185+นครปฐม!M185+ปทุมธานี!M185+ประจวบคีรีขันธ์!M185+ปราจีนบุรี!M185+พระนครศรีอยุธยา!M185+เพชรบุรี!M185+ระยอง!M185+ราชบุรี!M185+ลพบุรี!M185+สระแก้ว!M185+สระบุรี!M185+สิงห์บุรี!M185+สุพรรณบุรี!M185+อ่างทอง!M185</f>
        <v>54060</v>
      </c>
      <c r="N185" s="178">
        <f ca="1">IF(L185&gt;0,M185*100/L185,0)</f>
        <v>4.2671086905043811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f>กาญจนบุรี!L186+จันทบุรี!L186+ฉะเชิงเทรา!L186+ชลบุรี!L186+ชัยนาท!L186+ตราด!L186+นครนายก!L186+นครปฐม!L186+ปทุมธานี!L186+ประจวบคีรีขันธ์!L186+ปราจีนบุรี!L186+พระนครศรีอยุธยา!L186+เพชรบุรี!L186+ระยอง!L186+ราชบุรี!L186+ลพบุรี!L186+สระแก้ว!L186+สระบุรี!L186+สิงห์บุรี!L186+สุพรรณบุรี!L186+อ่างทอง!L186</f>
        <v>0</v>
      </c>
      <c r="M186" s="49">
        <f>กาญจนบุรี!M186+จันทบุรี!M186+ฉะเชิงเทรา!M186+ชลบุรี!M186+ชัยนาท!M186+ตราด!M186+นครนายก!M186+นครปฐม!M186+ปทุมธานี!M186+ประจวบคีรีขันธ์!M186+ปราจีนบุรี!M186+พระนครศรีอยุธยา!M186+เพชรบุรี!M186+ระยอง!M186+ราชบุรี!M186+ลพบุรี!M186+สระแก้ว!M186+สระบุรี!M186+สิงห์บุรี!M186+สุพรรณบุรี!M186+อ่างทอง!M186</f>
        <v>0</v>
      </c>
      <c r="N186" s="49">
        <f t="shared" ref="N186:N189" si="19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ca="1">กาญจนบุรี!L187+จันทบุรี!L187+ฉะเชิงเทรา!L187+ชลบุรี!L187+ชัยนาท!L187+ตราด!L187+นครนายก!L187+นครปฐม!L187+ปทุมธานี!L187+ประจวบคีรีขันธ์!L187+ปราจีนบุรี!L187+พระนครศรีอยุธยา!L187+เพชรบุรี!L187+ระยอง!L187+ราชบุรี!L187+ลพบุรี!L187+สระแก้ว!L187+สระบุรี!L187+สิงห์บุรี!L187+สุพรรณบุรี!L187+อ่างทอง!L187</f>
        <v>1266900</v>
      </c>
      <c r="M187" s="49">
        <f>กาญจนบุรี!M187+จันทบุรี!M187+ฉะเชิงเทรา!M187+ชลบุรี!M187+ชัยนาท!M187+ตราด!M187+นครนายก!M187+นครปฐม!M187+ปทุมธานี!M187+ประจวบคีรีขันธ์!M187+ปราจีนบุรี!M187+พระนครศรีอยุธยา!M187+เพชรบุรี!M187+ระยอง!M187+ราชบุรี!M187+ลพบุรี!M187+สระแก้ว!M187+สระบุรี!M187+สิงห์บุรี!M187+สุพรรณบุรี!M187+อ่างทอง!M187</f>
        <v>54060</v>
      </c>
      <c r="N187" s="49">
        <f t="shared" ca="1" si="19"/>
        <v>4.2671086905043811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กาญจนบุรี!L188+จันทบุรี!L188+ฉะเชิงเทรา!L188+ชลบุรี!L188+ชัยนาท!L188+ตราด!L188+นครนายก!L188+นครปฐม!L188+ปทุมธานี!L188+ประจวบคีรีขันธ์!L188+ปราจีนบุรี!L188+พระนครศรีอยุธยา!L188+เพชรบุรี!L188+ระยอง!L188+ราชบุรี!L188+ลพบุรี!L188+สระแก้ว!L188+สระบุรี!L188+สิงห์บุรี!L188+สุพรรณบุรี!L188+อ่างทอง!L188</f>
        <v>132000</v>
      </c>
      <c r="M188" s="53">
        <f>กาญจนบุรี!M188+จันทบุรี!M188+ฉะเชิงเทรา!M188+ชลบุรี!M188+ชัยนาท!M188+ตราด!M188+นครนายก!M188+นครปฐม!M188+ปทุมธานี!M188+ประจวบคีรีขันธ์!M188+ปราจีนบุรี!M188+พระนครศรีอยุธยา!M188+เพชรบุรี!M188+ระยอง!M188+ราชบุรี!M188+ลพบุรี!M188+สระแก้ว!M188+สระบุรี!M188+สิงห์บุรี!M188+สุพรรณบุรี!M188+อ่างทอง!M188</f>
        <v>21000</v>
      </c>
      <c r="N188" s="52">
        <f t="shared" ca="1" si="19"/>
        <v>15.909090909090908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กาญจนบุรี!L189+จันทบุรี!L189+ฉะเชิงเทรา!L189+ชลบุรี!L189+ชัยนาท!L189+ตราด!L189+นครนายก!L189+นครปฐม!L189+ปทุมธานี!L189+ประจวบคีรีขันธ์!L189+ปราจีนบุรี!L189+พระนครศรีอยุธยา!L189+เพชรบุรี!L189+ระยอง!L189+ราชบุรี!L189+ลพบุรี!L189+สระแก้ว!L189+สระบุรี!L189+สิงห์บุรี!L189+สุพรรณบุรี!L189+อ่างทอง!L189</f>
        <v>1134900</v>
      </c>
      <c r="M189" s="53">
        <f>กาญจนบุรี!M189+จันทบุรี!M189+ฉะเชิงเทรา!M189+ชลบุรี!M189+ชัยนาท!M189+ตราด!M189+นครนายก!M189+นครปฐม!M189+ปทุมธานี!M189+ประจวบคีรีขันธ์!M189+ปราจีนบุรี!M189+พระนครศรีอยุธยา!M189+เพชรบุรี!M189+ระยอง!M189+ราชบุรี!M189+ลพบุรี!M189+สระแก้ว!M189+สระบุรี!M189+สิงห์บุรี!M189+สุพรรณบุรี!M189+อ่างทอง!M189</f>
        <v>33060</v>
      </c>
      <c r="N189" s="52">
        <f t="shared" ca="1" si="19"/>
        <v>2.9130319851969335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f>กาญจนบุรี!J191+จันทบุรี!J191+ฉะเชิงเทรา!J191+ชลบุรี!J191+ชัยนาท!J191+ตราด!J191+นครนายก!J191+นครปฐม!J191+ปทุมธานี!J191+ประจวบคีรีขันธ์!J191+ปราจีนบุรี!J191+พระนครศรีอยุธยา!J191+เพชรบุรี!J191+ระยอง!J191+ราชบุรี!J191+ลพบุรี!J191+สระแก้ว!J191+สระบุรี!J191+สิงห์บุรี!J191+สุพรรณบุรี!J191+อ่างทอง!J191</f>
        <v>7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f>กาญจนบุรี!J192+จันทบุรี!J192+ฉะเชิงเทรา!J192+ชลบุรี!J192+ชัยนาท!J192+ตราด!J192+นครนายก!J192+นครปฐม!J192+ปทุมธานี!J192+ประจวบคีรีขันธ์!J192+ปราจีนบุรี!J192+พระนครศรีอยุธยา!J192+เพชรบุรี!J192+ระยอง!J192+ราชบุรี!J192+ลพบุรี!J192+สระแก้ว!J192+สระบุรี!J192+สิงห์บุรี!J192+สุพรรณบุรี!J192+อ่างทอง!J192</f>
        <v>4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f>กาญจนบุรี!J193+จันทบุรี!J193+ฉะเชิงเทรา!J193+ชลบุรี!J193+ชัยนาท!J193+ตราด!J193+นครนายก!J193+นครปฐม!J193+ปทุมธานี!J193+ประจวบคีรีขันธ์!J193+ปราจีนบุรี!J193+พระนครศรีอยุธยา!J193+เพชรบุรี!J193+ระยอง!J193+ราชบุรี!J193+ลพบุรี!J193+สระแก้ว!J193+สระบุรี!J193+สิงห์บุรี!J193+สุพรรณบุรี!J193+อ่างทอง!J193</f>
        <v>3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f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2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กาญจนบุรี!I195+จันทบุรี!I195+ฉะเชิงเทรา!I195+ชลบุรี!I195+ชัยนาท!I195+ตราด!I195+นครนายก!I195+นครปฐม!I195+ปทุมธานี!I195+ประจวบคีรีขันธ์!I195+ปราจีนบุรี!I195+พระนครศรีอยุธยา!I195+เพชรบุรี!I195+ระยอง!I195+ราชบุรี!I195+ลพบุรี!I195+สระแก้ว!I195+สระบุรี!I195+สิงห์บุรี!I195+สุพรรณบุรี!I195+อ่างทอง!I195</f>
        <v>205</v>
      </c>
      <c r="J195" s="67">
        <f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f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f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100</v>
      </c>
      <c r="J199" s="177">
        <f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0</v>
      </c>
      <c r="K199" s="178">
        <f ca="1">IF(I199&gt;0,J199*100/I199,0)</f>
        <v>0</v>
      </c>
      <c r="L199" s="179">
        <f ca="1">กาญจนบุรี!L199+จันทบุรี!L199+ฉะเชิงเทรา!L199+ชลบุรี!L199+ชัยนาท!L199+ตราด!L199+นครนายก!L199+นครปฐม!L199+ปทุมธานี!L199+ประจวบคีรีขันธ์!L199+ปราจีนบุรี!L199+พระนครศรีอยุธยา!L199+เพชรบุรี!L199+ระยอง!L199+ราชบุรี!L199+ลพบุรี!L199+สระแก้ว!L199+สระบุรี!L199+สิงห์บุรี!L199+สุพรรณบุรี!L199+อ่างทอง!L199</f>
        <v>315320</v>
      </c>
      <c r="M199" s="179">
        <f>กาญจนบุรี!M199+จันทบุรี!M199+ฉะเชิงเทรา!M199+ชลบุรี!M199+ชัยนาท!M199+ตราด!M199+นครนายก!M199+นครปฐม!M199+ปทุมธานี!M199+ประจวบคีรีขันธ์!M199+ปราจีนบุรี!M199+พระนครศรีอยุธยา!M199+เพชรบุรี!M199+ระยอง!M199+ราชบุรี!M199+ลพบุรี!M199+สระแก้ว!M199+สระบุรี!M199+สิงห์บุรี!M199+สุพรรณบุรี!M199+อ่างทอง!M199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f>กาญจนบุรี!L200+จันทบุรี!L200+ฉะเชิงเทรา!L200+ชลบุรี!L200+ชัยนาท!L200+ตราด!L200+นครนายก!L200+นครปฐม!L200+ปทุมธานี!L200+ประจวบคีรีขันธ์!L200+ปราจีนบุรี!L200+พระนครศรีอยุธยา!L200+เพชรบุรี!L200+ระยอง!L200+ราชบุรี!L200+ลพบุรี!L200+สระแก้ว!L200+สระบุรี!L200+สิงห์บุรี!L200+สุพรรณบุรี!L200+อ่างทอง!L200</f>
        <v>0</v>
      </c>
      <c r="M200" s="49">
        <f>กาญจนบุรี!M200+จันทบุรี!M200+ฉะเชิงเทรา!M200+ชลบุรี!M200+ชัยนาท!M200+ตราด!M200+นครนายก!M200+นครปฐม!M200+ปทุมธานี!M200+ประจวบคีรีขันธ์!M200+ปราจีนบุรี!M200+พระนครศรีอยุธยา!M200+เพชรบุรี!M200+ระยอง!M200+ราชบุรี!M200+ลพบุรี!M200+สระแก้ว!M200+สระบุรี!M200+สิงห์บุรี!M200+สุพรรณบุรี!M200+อ่างทอง!M200</f>
        <v>0</v>
      </c>
      <c r="N200" s="49">
        <f t="shared" ref="N200:N203" si="20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ca="1">กาญจนบุรี!L201+จันทบุรี!L201+ฉะเชิงเทรา!L201+ชลบุรี!L201+ชัยนาท!L201+ตราด!L201+นครนายก!L201+นครปฐม!L201+ปทุมธานี!L201+ประจวบคีรีขันธ์!L201+ปราจีนบุรี!L201+พระนครศรีอยุธยา!L201+เพชรบุรี!L201+ระยอง!L201+ราชบุรี!L201+ลพบุรี!L201+สระแก้ว!L201+สระบุรี!L201+สิงห์บุรี!L201+สุพรรณบุรี!L201+อ่างทอง!L201</f>
        <v>315320</v>
      </c>
      <c r="M201" s="49">
        <f>กาญจนบุรี!M201+จันทบุรี!M201+ฉะเชิงเทรา!M201+ชลบุรี!M201+ชัยนาท!M201+ตราด!M201+นครนายก!M201+นครปฐม!M201+ปทุมธานี!M201+ประจวบคีรีขันธ์!M201+ปราจีนบุรี!M201+พระนครศรีอยุธยา!M201+เพชรบุรี!M201+ระยอง!M201+ราชบุรี!M201+ลพบุรี!M201+สระแก้ว!M201+สระบุรี!M201+สิงห์บุรี!M201+สุพรรณบุรี!M201+อ่างทอง!M201</f>
        <v>0</v>
      </c>
      <c r="N201" s="49">
        <f t="shared" ca="1" si="20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f>กาญจนบุรี!L202+จันทบุรี!L202+ฉะเชิงเทรา!L202+ชลบุรี!L202+ชัยนาท!L202+ตราด!L202+นครนายก!L202+นครปฐม!L202+ปทุมธานี!L202+ประจวบคีรีขันธ์!L202+ปราจีนบุรี!L202+พระนครศรีอยุธยา!L202+เพชรบุรี!L202+ระยอง!L202+ราชบุรี!L202+ลพบุรี!L202+สระแก้ว!L202+สระบุรี!L202+สิงห์บุรี!L202+สุพรรณบุรี!L202+อ่างทอง!L202</f>
        <v>0</v>
      </c>
      <c r="M202" s="52">
        <f>กาญจนบุรี!M202+จันทบุรี!M202+ฉะเชิงเทรา!M202+ชลบุรี!M202+ชัยนาท!M202+ตราด!M202+นครนายก!M202+นครปฐม!M202+ปทุมธานี!M202+ประจวบคีรีขันธ์!M202+ปราจีนบุรี!M202+พระนครศรีอยุธยา!M202+เพชรบุรี!M202+ระยอง!M202+ราชบุรี!M202+ลพบุรี!M202+สระแก้ว!M202+สระบุรี!M202+สิงห์บุรี!M202+สุพรรณบุรี!M202+อ่างทอง!M202</f>
        <v>0</v>
      </c>
      <c r="N202" s="52">
        <f t="shared" si="20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47"/>
      <c r="K203" s="48"/>
      <c r="L203" s="52">
        <f ca="1">กาญจนบุรี!L203+จันทบุรี!L203+ฉะเชิงเทรา!L203+ชลบุรี!L203+ชัยนาท!L203+ตราด!L203+นครนายก!L203+นครปฐม!L203+ปทุมธานี!L203+ประจวบคีรีขันธ์!L203+ปราจีนบุรี!L203+พระนครศรีอยุธยา!L203+เพชรบุรี!L203+ระยอง!L203+ราชบุรี!L203+ลพบุรี!L203+สระแก้ว!L203+สระบุรี!L203+สิงห์บุรี!L203+สุพรรณบุรี!L203+อ่างทอง!L203</f>
        <v>315320</v>
      </c>
      <c r="M203" s="53">
        <f>กาญจนบุรี!M203+จันทบุรี!M203+ฉะเชิงเทรา!M203+ชลบุรี!M203+ชัยนาท!M203+ตราด!M203+นครนายก!M203+นครปฐม!M203+ปทุมธานี!M203+ประจวบคีรีขันธ์!M203+ปราจีนบุรี!M203+พระนครศรีอยุธยา!M203+เพชรบุรี!M203+ระยอง!M203+ราชบุรี!M203+ลพบุรี!M203+สระแก้ว!M203+สระบุรี!M203+สิงห์บุรี!M203+สุพรรณบุรี!M203+อ่างทอง!M203</f>
        <v>0</v>
      </c>
      <c r="N203" s="52">
        <f t="shared" ca="1" si="20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f>กาญจนบุรี!J205+จันทบุรี!J205+ฉะเชิงเทรา!J205+ชลบุรี!J205+ชัยนาท!J205+ตราด!J205+นครนายก!J205+นครปฐม!J205+ปทุมธานี!J205+ประจวบคีรีขันธ์!J205+ปราจีนบุรี!J205+พระนครศรีอยุธยา!J205+เพชรบุรี!J205+ระยอง!J205+ราชบุรี!J205+ลพบุรี!J205+สระแก้ว!J205+สระบุรี!J205+สิงห์บุรี!J205+สุพรรณบุรี!J205+อ่างทอง!J205</f>
        <v>2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f>กาญจนบุรี!J206+จันทบุรี!J206+ฉะเชิงเทรา!J206+ชลบุรี!J206+ชัยนาท!J206+ตราด!J206+นครนายก!J206+นครปฐม!J206+ปทุมธานี!J206+ประจวบคีรีขันธ์!J206+ปราจีนบุรี!J206+พระนครศรีอยุธยา!J206+เพชรบุรี!J206+ระยอง!J206+ราชบุรี!J206+ลพบุรี!J206+สระแก้ว!J206+สระบุรี!J206+สิงห์บุรี!J206+สุพรรณบุรี!J206+อ่างทอง!J206</f>
        <v>0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f>กาญจนบุรี!J207+จันทบุรี!J207+ฉะเชิงเทรา!J207+ชลบุรี!J207+ชัยนาท!J207+ตราด!J207+นครนายก!J207+นครปฐม!J207+ปทุมธานี!J207+ประจวบคีรีขันธ์!J207+ปราจีนบุรี!J207+พระนครศรีอยุธยา!J207+เพชรบุรี!J207+ระยอง!J207+ราชบุรี!J207+ลพบุรี!J207+สระแก้ว!J207+สระบุรี!J207+สิงห์บุรี!J207+สุพรรณบุรี!J207+อ่างทอง!J207</f>
        <v>0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f>กาญจนบุรี!J208+จันทบุรี!J208+ฉะเชิงเทรา!J208+ชลบุรี!J208+ชัยนาท!J208+ตราด!J208+นครนายก!J208+นครปฐม!J208+ปทุมธานี!J208+ประจวบคีรีขันธ์!J208+ปราจีนบุรี!J208+พระนครศรีอยุธยา!J208+เพชรบุรี!J208+ระยอง!J208+ราชบุรี!J208+ลพบุรี!J208+สระแก้ว!J208+สระบุรี!J208+สิงห์บุรี!J208+สุพรรณบุรี!J208+อ่างทอง!J208</f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กาญจนบุรี!I209+จันทบุรี!I209+ฉะเชิงเทรา!I209+ชลบุรี!I209+ชัยนาท!I209+ตราด!I209+นครนายก!I209+นครปฐม!I209+ปทุมธานี!I209+ประจวบคีรีขันธ์!I209+ปราจีนบุรี!I209+พระนครศรีอยุธยา!I209+เพชรบุรี!I209+ระยอง!I209+ราชบุรี!I209+ลพบุรี!I209+สระแก้ว!I209+สระบุรี!I209+สิงห์บุรี!I209+สุพรรณบุรี!I209+อ่างทอง!I209</f>
        <v>100</v>
      </c>
      <c r="J209" s="67">
        <f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กาญจนบุรี!I211+จันทบุรี!I211+ฉะเชิงเทรา!I211+ชลบุรี!I211+ชัยนาท!I211+ตราด!I211+นครนายก!I211+นครปฐม!I211+ปทุมธานี!I211+ประจวบคีรีขันธ์!I211+ปราจีนบุรี!I211+พระนครศรีอยุธยา!I211+เพชรบุรี!I211+ระยอง!I211+ราชบุรี!I211+ลพบุรี!I211+สระแก้ว!I211+สระบุรี!I211+สิงห์บุรี!I211+สุพรรณบุรี!I211+อ่างทอง!I211</f>
        <v>100</v>
      </c>
      <c r="J211" s="67">
        <f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f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87">
        <f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0</v>
      </c>
      <c r="K213" s="48"/>
      <c r="L213" s="60"/>
      <c r="M213" s="60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ca="1"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15</v>
      </c>
      <c r="J214" s="194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195">
        <f ca="1">IF(I214&gt;0,J214*100/I214,0)</f>
        <v>0</v>
      </c>
      <c r="L214" s="196">
        <f ca="1">กาญจนบุรี!L214+จันทบุรี!L214+ฉะเชิงเทรา!L214+ชลบุรี!L214+ชัยนาท!L214+ตราด!L214+นครนายก!L214+นครปฐม!L214+ปทุมธานี!L214+ประจวบคีรีขันธ์!L214+ปราจีนบุรี!L214+พระนครศรีอยุธยา!L214+เพชรบุรี!L214+ระยอง!L214+ราชบุรี!L214+ลพบุรี!L214+สระแก้ว!L214+สระบุรี!L214+สิงห์บุรี!L214+สุพรรณบุรี!L214+อ่างทอง!L214</f>
        <v>1019800</v>
      </c>
      <c r="M214" s="196">
        <f>กาญจนบุรี!M214+จันทบุรี!M214+ฉะเชิงเทรา!M214+ชลบุรี!M214+ชัยนาท!M214+ตราด!M214+นครนายก!M214+นครปฐม!M214+ปทุมธานี!M214+ประจวบคีรีขันธ์!M214+ปราจีนบุรี!M214+พระนครศรีอยุธยา!M214+เพชรบุรี!M214+ระยอง!M214+ราชบุรี!M214+ลพบุรี!M214+สระแก้ว!M214+สระบุรี!M214+สิงห์บุรี!M214+สุพรรณบุรี!M214+อ่างทอง!M214</f>
        <v>29240</v>
      </c>
      <c r="N214" s="195">
        <f ca="1">IF(L214&gt;0,M214*100/L214,0)</f>
        <v>2.8672288684055696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f>กาญจนบุรี!L215+จันทบุรี!L215+ฉะเชิงเทรา!L215+ชลบุรี!L215+ชัยนาท!L215+ตราด!L215+นครนายก!L215+นครปฐม!L215+ปทุมธานี!L215+ประจวบคีรีขันธ์!L215+ปราจีนบุรี!L215+พระนครศรีอยุธยา!L215+เพชรบุรี!L215+ระยอง!L215+ราชบุรี!L215+ลพบุรี!L215+สระแก้ว!L215+สระบุรี!L215+สิงห์บุรี!L215+สุพรรณบุรี!L215+อ่างทอง!L215</f>
        <v>0</v>
      </c>
      <c r="M215" s="52">
        <f>กาญจนบุรี!M215+จันทบุรี!M215+ฉะเชิงเทรา!M215+ชลบุรี!M215+ชัยนาท!M215+ตราด!M215+นครนายก!M215+นครปฐม!M215+ปทุมธานี!M215+ประจวบคีรีขันธ์!M215+ปราจีนบุรี!M215+พระนครศรีอยุธยา!M215+เพชรบุรี!M215+ระยอง!M215+ราชบุรี!M215+ลพบุรี!M215+สระแก้ว!M215+สระบุรี!M215+สิงห์บุรี!M215+สุพรรณบุรี!M215+อ่างทอง!M215</f>
        <v>0</v>
      </c>
      <c r="N215" s="52">
        <f t="shared" ref="N215:N218" si="21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ca="1">กาญจนบุรี!L216+จันทบุรี!L216+ฉะเชิงเทรา!L216+ชลบุรี!L216+ชัยนาท!L216+ตราด!L216+นครนายก!L216+นครปฐม!L216+ปทุมธานี!L216+ประจวบคีรีขันธ์!L216+ปราจีนบุรี!L216+พระนครศรีอยุธยา!L216+เพชรบุรี!L216+ระยอง!L216+ราชบุรี!L216+ลพบุรี!L216+สระแก้ว!L216+สระบุรี!L216+สิงห์บุรี!L216+สุพรรณบุรี!L216+อ่างทอง!L216</f>
        <v>1019800</v>
      </c>
      <c r="M216" s="52">
        <f>กาญจนบุรี!M216+จันทบุรี!M216+ฉะเชิงเทรา!M216+ชลบุรี!M216+ชัยนาท!M216+ตราด!M216+นครนายก!M216+นครปฐม!M216+ปทุมธานี!M216+ประจวบคีรีขันธ์!M216+ปราจีนบุรี!M216+พระนครศรีอยุธยา!M216+เพชรบุรี!M216+ระยอง!M216+ราชบุรี!M216+ลพบุรี!M216+สระแก้ว!M216+สระบุรี!M216+สิงห์บุรี!M216+สุพรรณบุรี!M216+อ่างทอง!M216</f>
        <v>29240</v>
      </c>
      <c r="N216" s="52">
        <f t="shared" ca="1" si="21"/>
        <v>2.8672288684055696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f>กาญจนบุรี!L217+จันทบุรี!L217+ฉะเชิงเทรา!L217+ชลบุรี!L217+ชัยนาท!L217+ตราด!L217+นครนายก!L217+นครปฐม!L217+ปทุมธานี!L217+ประจวบคีรีขันธ์!L217+ปราจีนบุรี!L217+พระนครศรีอยุธยา!L217+เพชรบุรี!L217+ระยอง!L217+ราชบุรี!L217+ลพบุรี!L217+สระแก้ว!L217+สระบุรี!L217+สิงห์บุรี!L217+สุพรรณบุรี!L217+อ่างทอง!L217</f>
        <v>0</v>
      </c>
      <c r="M217" s="52">
        <f>กาญจนบุรี!M217+จันทบุรี!M217+ฉะเชิงเทรา!M217+ชลบุรี!M217+ชัยนาท!M217+ตราด!M217+นครนายก!M217+นครปฐม!M217+ปทุมธานี!M217+ประจวบคีรีขันธ์!M217+ปราจีนบุรี!M217+พระนครศรีอยุธยา!M217+เพชรบุรี!M217+ระยอง!M217+ราชบุรี!M217+ลพบุรี!M217+สระแก้ว!M217+สระบุรี!M217+สิงห์บุรี!M217+สุพรรณบุรี!M217+อ่างทอง!M217</f>
        <v>0</v>
      </c>
      <c r="N217" s="52">
        <f t="shared" si="21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กาญจนบุรี!L218+จันทบุรี!L218+ฉะเชิงเทรา!L218+ชลบุรี!L218+ชัยนาท!L218+ตราด!L218+นครนายก!L218+นครปฐม!L218+ปทุมธานี!L218+ประจวบคีรีขันธ์!L218+ปราจีนบุรี!L218+พระนครศรีอยุธยา!L218+เพชรบุรี!L218+ระยอง!L218+ราชบุรี!L218+ลพบุรี!L218+สระแก้ว!L218+สระบุรี!L218+สิงห์บุรี!L218+สุพรรณบุรี!L218+อ่างทอง!L218</f>
        <v>1019800</v>
      </c>
      <c r="M218" s="53">
        <f>กาญจนบุรี!M218+จันทบุรี!M218+ฉะเชิงเทรา!M218+ชลบุรี!M218+ชัยนาท!M218+ตราด!M218+นครนายก!M218+นครปฐม!M218+ปทุมธานี!M218+ประจวบคีรีขันธ์!M218+ปราจีนบุรี!M218+พระนครศรีอยุธยา!M218+เพชรบุรี!M218+ระยอง!M218+ราชบุรี!M218+ลพบุรี!M218+สระแก้ว!M218+สระบุรี!M218+สิงห์บุรี!M218+สุพรรณบุรี!M218+อ่างทอง!M218</f>
        <v>29240</v>
      </c>
      <c r="N218" s="52">
        <f t="shared" ca="1" si="21"/>
        <v>2.8672288684055696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f>กาญจนบุรี!J220+จันทบุรี!J220+ฉะเชิงเทรา!J220+ชลบุรี!J220+ชัยนาท!J220+ตราด!J220+นครนายก!J220+นครปฐม!J220+ปทุมธานี!J220+ประจวบคีรีขันธ์!J220+ปราจีนบุรี!J220+พระนครศรีอยุธยา!J220+เพชรบุรี!J220+ระยอง!J220+ราชบุรี!J220+ลพบุรี!J220+สระแก้ว!J220+สระบุรี!J220+สิงห์บุรี!J220+สุพรรณบุรี!J220+อ่างทอง!J220</f>
        <v>2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f>กาญจนบุรี!J221+จันทบุรี!J221+ฉะเชิงเทรา!J221+ชลบุรี!J221+ชัยนาท!J221+ตราด!J221+นครนายก!J221+นครปฐม!J221+ปทุมธานี!J221+ประจวบคีรีขันธ์!J221+ปราจีนบุรี!J221+พระนครศรีอยุธยา!J221+เพชรบุรี!J221+ระยอง!J221+ราชบุรี!J221+ลพบุรี!J221+สระแก้ว!J221+สระบุรี!J221+สิงห์บุรี!J221+สุพรรณบุรี!J221+อ่างทอง!J221</f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f>กาญจนบุรี!J222+จันทบุรี!J222+ฉะเชิงเทรา!J222+ชลบุรี!J222+ชัยนาท!J222+ตราด!J222+นครนายก!J222+นครปฐม!J222+ปทุมธานี!J222+ประจวบคีรีขันธ์!J222+ปราจีนบุรี!J222+พระนครศรีอยุธยา!J222+เพชรบุรี!J222+ระยอง!J222+ราชบุรี!J222+ลพบุรี!J222+สระแก้ว!J222+สระบุรี!J222+สิงห์บุรี!J222+สุพรรณบุรี!J222+อ่างทอง!J222</f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f>กาญจนบุรี!J223+จันทบุรี!J223+ฉะเชิงเทรา!J223+ชลบุรี!J223+ชัยนาท!J223+ตราด!J223+นครนายก!J223+นครปฐม!J223+ปทุมธานี!J223+ประจวบคีรีขันธ์!J223+ปราจีนบุรี!J223+พระนครศรีอยุธยา!J223+เพชรบุรี!J223+ระยอง!J223+ราชบุรี!J223+ลพบุรี!J223+สระแก้ว!J223+สระบุรี!J223+สิงห์บุรี!J223+สุพรรณบุรี!J223+อ่างทอง!J223</f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กาญจนบุรี!I224+จันทบุรี!I224+ฉะเชิงเทรา!I224+ชลบุรี!I224+ชัยนาท!I224+ตราด!I224+นครนายก!I224+นครปฐม!I224+ปทุมธานี!I224+ประจวบคีรีขันธ์!I224+ปราจีนบุรี!I224+พระนครศรีอยุธยา!I224+เพชรบุรี!I224+ระยอง!I224+ราชบุรี!I224+ลพบุรี!I224+สระแก้ว!I224+สระบุรี!I224+สิงห์บุรี!I224+สุพรรณบุรี!I224+อ่างทอง!I224</f>
        <v>15</v>
      </c>
      <c r="J224" s="67">
        <f>กาญจนบุรี!J224+จันทบุรี!J224+ฉะเชิงเทรา!J224+ชลบุรี!J224+ชัยนาท!J224+ตราด!J224+นครนายก!J224+นครปฐม!J224+ปทุมธานี!J224+ประจวบคีรีขันธ์!J224+ปราจีนบุรี!J224+พระนครศรีอยุธยา!J224+เพชรบุรี!J224+ระยอง!J224+ราชบุรี!J224+ลพบุรี!J224+สระแก้ว!J224+สระบุรี!J224+สิงห์บุรี!J224+สุพรรณบุรี!J224+อ่างทอง!J224</f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f>กาญจนบุรี!J225+จันทบุรี!J225+ฉะเชิงเทรา!J225+ชลบุรี!J225+ชัยนาท!J225+ตราด!J225+นครนายก!J225+นครปฐม!J225+ปทุมธานี!J225+ประจวบคีรีขันธ์!J225+ปราจีนบุรี!J225+พระนครศรีอยุธยา!J225+เพชรบุรี!J225+ระยอง!J225+ราชบุรี!J225+ลพบุรี!J225+สระแก้ว!J225+สระบุรี!J225+สิงห์บุรี!J225+สุพรรณบุรี!J225+อ่างทอง!J225</f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f>กาญจนบุรี!J226+จันทบุรี!J226+ฉะเชิงเทรา!J226+ชลบุรี!J226+ชัยนาท!J226+ตราด!J226+นครนายก!J226+นครปฐม!J226+ปทุมธานี!J226+ประจวบคีรีขันธ์!J226+ปราจีนบุรี!J226+พระนครศรีอยุธยา!J226+เพชรบุรี!J226+ระยอง!J226+ราชบุรี!J226+ลพบุรี!J226+สระแก้ว!J226+สระบุรี!J226+สิงห์บุรี!J226+สุพรรณบุรี!J226+อ่างทอง!J226</f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กาญจนบุรี!I228+จันทบุรี!I228+ฉะเชิงเทรา!I228+ชลบุรี!I228+ชัยนาท!I228+ตราด!I228+นครนายก!I228+นครปฐม!I228+ปทุมธานี!I228+ประจวบคีรีขันธ์!I228+ปราจีนบุรี!I228+พระนครศรีอยุธยา!I228+เพชรบุรี!I228+ระยอง!I228+ราชบุรี!I228+ลพบุรี!I228+สระแก้ว!I228+สระบุรี!I228+สิงห์บุรี!I228+สุพรรณบุรี!I228+อ่างทอง!I228</f>
        <v>2742</v>
      </c>
      <c r="J228" s="197">
        <f ca="1">กาญจนบุรี!J228+จันทบุรี!J228+ฉะเชิงเทรา!J228+ชลบุรี!J228+ชัยนาท!J228+ตราด!J228+นครนายก!J228+นครปฐม!J228+ปทุมธานี!J228+ประจวบคีรีขันธ์!J228+ปราจีนบุรี!J228+พระนครศรีอยุธยา!J228+เพชรบุรี!J228+ระยอง!J228+ราชบุรี!J228+ลพบุรี!J228+สระแก้ว!J228+สระบุรี!J228+สิงห์บุรี!J228+สุพรรณบุรี!J228+อ่างทอง!J228</f>
        <v>182</v>
      </c>
      <c r="K228" s="178">
        <f ca="1">IF(I228&gt;0,J228*100/I228,0)</f>
        <v>6.6374908825674694</v>
      </c>
      <c r="L228" s="179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16165540</v>
      </c>
      <c r="M228" s="179">
        <f>กาญจนบุรี!M228+จันทบุรี!M228+ฉะเชิงเทรา!M228+ชลบุรี!M228+ชัยนาท!M228+ตราด!M228+นครนายก!M228+นครปฐม!M228+ปทุมธานี!M228+ประจวบคีรีขันธ์!M228+ปราจีนบุรี!M228+พระนครศรีอยุธยา!M228+เพชรบุรี!M228+ระยอง!M228+ราชบุรี!M228+ลพบุรี!M228+สระแก้ว!M228+สระบุรี!M228+สิงห์บุรี!M228+สุพรรณบุรี!M228+อ่างทอง!M228</f>
        <v>715040.05999999994</v>
      </c>
      <c r="N228" s="178">
        <f ca="1">IF(L228&gt;0,M228*100/L228,0)</f>
        <v>4.4232364647268199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f>กาญจนบุรี!L229+จันทบุรี!L229+ฉะเชิงเทรา!L229+ชลบุรี!L229+ชัยนาท!L229+ตราด!L229+นครนายก!L229+นครปฐม!L229+ปทุมธานี!L229+ประจวบคีรีขันธ์!L229+ปราจีนบุรี!L229+พระนครศรีอยุธยา!L229+เพชรบุรี!L229+ระยอง!L229+ราชบุรี!L229+ลพบุรี!L229+สระแก้ว!L229+สระบุรี!L229+สิงห์บุรี!L229+สุพรรณบุรี!L229+อ่างทอง!L229</f>
        <v>0</v>
      </c>
      <c r="M229" s="52">
        <f>กาญจนบุรี!M229+จันทบุรี!M229+ฉะเชิงเทรา!M229+ชลบุรี!M229+ชัยนาท!M229+ตราด!M229+นครนายก!M229+นครปฐม!M229+ปทุมธานี!M229+ประจวบคีรีขันธ์!M229+ปราจีนบุรี!M229+พระนครศรีอยุธยา!M229+เพชรบุรี!M229+ระยอง!M229+ราชบุรี!M229+ลพบุรี!M229+สระแก้ว!M229+สระบุรี!M229+สิงห์บุรี!M229+สุพรรณบุรี!M229+อ่างทอง!M229</f>
        <v>0</v>
      </c>
      <c r="N229" s="52">
        <f t="shared" ref="N229:N232" si="22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ca="1">กาญจนบุรี!L230+จันทบุรี!L230+ฉะเชิงเทรา!L230+ชลบุรี!L230+ชัยนาท!L230+ตราด!L230+นครนายก!L230+นครปฐม!L230+ปทุมธานี!L230+ประจวบคีรีขันธ์!L230+ปราจีนบุรี!L230+พระนครศรีอยุธยา!L230+เพชรบุรี!L230+ระยอง!L230+ราชบุรี!L230+ลพบุรี!L230+สระแก้ว!L230+สระบุรี!L230+สิงห์บุรี!L230+สุพรรณบุรี!L230+อ่างทอง!L230</f>
        <v>16165540</v>
      </c>
      <c r="M230" s="52">
        <f>กาญจนบุรี!M230+จันทบุรี!M230+ฉะเชิงเทรา!M230+ชลบุรี!M230+ชัยนาท!M230+ตราด!M230+นครนายก!M230+นครปฐม!M230+ปทุมธานี!M230+ประจวบคีรีขันธ์!M230+ปราจีนบุรี!M230+พระนครศรีอยุธยา!M230+เพชรบุรี!M230+ระยอง!M230+ราชบุรี!M230+ลพบุรี!M230+สระแก้ว!M230+สระบุรี!M230+สิงห์บุรี!M230+สุพรรณบุรี!M230+อ่างทอง!M230</f>
        <v>715040.05999999994</v>
      </c>
      <c r="N230" s="52">
        <f t="shared" ca="1" si="22"/>
        <v>4.4232364647268199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กาญจนบุรี!L231+จันทบุรี!L231+ฉะเชิงเทรา!L231+ชลบุรี!L231+ชัยนาท!L231+ตราด!L231+นครนายก!L231+นครปฐม!L231+ปทุมธานี!L231+ประจวบคีรีขันธ์!L231+ปราจีนบุรี!L231+พระนครศรีอยุธยา!L231+เพชรบุรี!L231+ระยอง!L231+ราชบุรี!L231+ลพบุรี!L231+สระแก้ว!L231+สระบุรี!L231+สิงห์บุรี!L231+สุพรรณบุรี!L231+อ่างทอง!L231</f>
        <v>9640300</v>
      </c>
      <c r="M231" s="53">
        <f>กาญจนบุรี!M231+จันทบุรี!M231+ฉะเชิงเทรา!M231+ชลบุรี!M231+ชัยนาท!M231+ตราด!M231+นครนายก!M231+นครปฐม!M231+ปทุมธานี!M231+ประจวบคีรีขันธ์!M231+ปราจีนบุรี!M231+พระนครศรีอยุธยา!M231+เพชรบุรี!M231+ระยอง!M231+ราชบุรี!M231+ลพบุรี!M231+สระแก้ว!M231+สระบุรี!M231+สิงห์บุรี!M231+สุพรรณบุรี!M231+อ่างทอง!M231</f>
        <v>475742.83999999997</v>
      </c>
      <c r="N231" s="52">
        <f t="shared" ca="1" si="22"/>
        <v>4.9349381243322306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กาญจนบุรี!L232+จันทบุรี!L232+ฉะเชิงเทรา!L232+ชลบุรี!L232+ชัยนาท!L232+ตราด!L232+นครนายก!L232+นครปฐม!L232+ปทุมธานี!L232+ประจวบคีรีขันธ์!L232+ปราจีนบุรี!L232+พระนครศรีอยุธยา!L232+เพชรบุรี!L232+ระยอง!L232+ราชบุรี!L232+ลพบุรี!L232+สระแก้ว!L232+สระบุรี!L232+สิงห์บุรี!L232+สุพรรณบุรี!L232+อ่างทอง!L232</f>
        <v>6525240</v>
      </c>
      <c r="M232" s="53">
        <f>กาญจนบุรี!M232+จันทบุรี!M232+ฉะเชิงเทรา!M232+ชลบุรี!M232+ชัยนาท!M232+ตราด!M232+นครนายก!M232+นครปฐม!M232+ปทุมธานี!M232+ประจวบคีรีขันธ์!M232+ปราจีนบุรี!M232+พระนครศรีอยุธยา!M232+เพชรบุรี!M232+ระยอง!M232+ราชบุรี!M232+ลพบุรี!M232+สระแก้ว!M232+สระบุรี!M232+สิงห์บุรี!M232+สุพรรณบุรี!M232+อ่างทอง!M232</f>
        <v>239297.22</v>
      </c>
      <c r="N232" s="52">
        <f t="shared" ca="1" si="22"/>
        <v>3.6672554572705374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199">
        <f>กาญจนบุรี!I234+จันทบุรี!I234+ฉะเชิงเทรา!I234+ชลบุรี!I234+ชัยนาท!I234+ตราด!I234+นครนายก!I234+นครปฐม!I234+ปทุมธานี!I234+ประจวบคีรีขันธ์!I234+ปราจีนบุรี!I234+พระนครศรีอยุธยา!I234+เพชรบุรี!I234+ระยอง!I234+ราชบุรี!I234+ลพบุรี!I234+สระแก้ว!I234+สระบุรี!I234+สิงห์บุรี!I234+สุพรรณบุรี!I234+อ่างทอง!I234</f>
        <v>0</v>
      </c>
      <c r="J234" s="66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375</v>
      </c>
      <c r="K234" s="200">
        <f t="shared" ref="K234:K241" si="23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199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31359</v>
      </c>
      <c r="J235" s="66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3999.6000000000004</v>
      </c>
      <c r="K235" s="200">
        <f t="shared" ca="1" si="23"/>
        <v>12.754233234478143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199">
        <f ca="1">กาญจนบุรี!I236+จันทบุรี!I236+ฉะเชิงเทรา!I236+ชลบุรี!I236+ชัยนาท!I236+ตราด!I236+นครนายก!I236+นครปฐม!I236+ปทุมธานี!I236+ประจวบคีรีขันธ์!I236+ปราจีนบุรี!I236+พระนครศรีอยุธยา!I236+เพชรบุรี!I236+ระยอง!I236+ราชบุรี!I236+ลพบุรี!I236+สระแก้ว!I236+สระบุรี!I236+สิงห์บุรี!I236+สุพรรณบุรี!I236+อ่างทอง!I236</f>
        <v>2742</v>
      </c>
      <c r="J236" s="66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382</v>
      </c>
      <c r="K236" s="200">
        <f t="shared" ca="1" si="23"/>
        <v>13.931436907366885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f>กาญจนบุรี!I237+จันทบุรี!I237+ฉะเชิงเทรา!I237+ชลบุรี!I237+ชัยนาท!I237+ตราด!I237+นครนายก!I237+นครปฐม!I237+ปทุมธานี!I237+ประจวบคีรีขันธ์!I237+ปราจีนบุรี!I237+พระนครศรีอยุธยา!I237+เพชรบุรี!I237+ระยอง!I237+ราชบุรี!I237+ลพบุรี!I237+สระแก้ว!I237+สระบุรี!I237+สิงห์บุรี!I237+สุพรรณบุรี!I237+อ่างทอง!I237</f>
        <v>0</v>
      </c>
      <c r="J237" s="66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4597.2699999999986</v>
      </c>
      <c r="K237" s="200">
        <f t="shared" si="23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199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2742</v>
      </c>
      <c r="J238" s="66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00">
        <f t="shared" ca="1" si="23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f>กาญจนบุรี!I239+จันทบุรี!I239+ฉะเชิงเทรา!I239+ชลบุรี!I239+ชัยนาท!I239+ตราด!I239+นครนายก!I239+นครปฐม!I239+ปทุมธานี!I239+ประจวบคีรีขันธ์!I239+ปราจีนบุรี!I239+พระนครศรีอยุธยา!I239+เพชรบุรี!I239+ระยอง!I239+ราชบุรี!I239+ลพบุรี!I239+สระแก้ว!I239+สระบุรี!I239+สิงห์บุรี!I239+สุพรรณบุรี!I239+อ่างทอง!I239</f>
        <v>0</v>
      </c>
      <c r="J239" s="66">
        <f ca="1">กาญจนบุรี!J239+จันทบุรี!J239+ฉะเชิงเทรา!J239+ชลบุรี!J239+ชัยนาท!J239+ตราด!J239+นครนายก!J239+นครปฐม!J239+ปทุมธานี!J239+ประจวบคีรีขันธ์!J239+ปราจีนบุรี!J239+พระนครศรีอยุธยา!J239+เพชรบุรี!J239+ระยอง!J239+ราชบุรี!J239+ลพบุรี!J239+สระแก้ว!J239+สระบุรี!J239+สิงห์บุรี!J239+สุพรรณบุรี!J239+อ่างทอง!J239</f>
        <v>0</v>
      </c>
      <c r="K239" s="200">
        <f t="shared" si="23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199">
        <f ca="1">กาญจนบุรี!I240+จันทบุรี!I240+ฉะเชิงเทรา!I240+ชลบุรี!I240+ชัยนาท!I240+ตราด!I240+นครนายก!I240+นครปฐม!I240+ปทุมธานี!I240+ประจวบคีรีขันธ์!I240+ปราจีนบุรี!I240+พระนครศรีอยุธยา!I240+เพชรบุรี!I240+ระยอง!I240+ราชบุรี!I240+ลพบุรี!I240+สระแก้ว!I240+สระบุรี!I240+สิงห์บุรี!I240+สุพรรณบุรี!I240+อ่างทอง!I240</f>
        <v>2742</v>
      </c>
      <c r="J240" s="66">
        <f ca="1">กาญจนบุรี!J240+จันทบุรี!J240+ฉะเชิงเทรา!J240+ชลบุรี!J240+ชัยนาท!J240+ตราด!J240+นครนายก!J240+นครปฐม!J240+ปทุมธานี!J240+ประจวบคีรีขันธ์!J240+ปราจีนบุรี!J240+พระนครศรีอยุธยา!J240+เพชรบุรี!J240+ระยอง!J240+ราชบุรี!J240+ลพบุรี!J240+สระแก้ว!J240+สระบุรี!J240+สิงห์บุรี!J240+สุพรรณบุรี!J240+อ่างทอง!J240</f>
        <v>182</v>
      </c>
      <c r="K240" s="200">
        <f t="shared" ca="1" si="23"/>
        <v>6.6374908825674694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f>กาญจนบุรี!I241+จันทบุรี!I241+ฉะเชิงเทรา!I241+ชลบุรี!I241+ชัยนาท!I241+ตราด!I241+นครนายก!I241+นครปฐม!I241+ปทุมธานี!I241+ประจวบคีรีขันธ์!I241+ปราจีนบุรี!I241+พระนครศรีอยุธยา!I241+เพชรบุรี!I241+ระยอง!I241+ราชบุรี!I241+ลพบุรี!I241+สระแก้ว!I241+สระบุรี!I241+สิงห์บุรี!I241+สุพรรณบุรี!I241+อ่างทอง!I241</f>
        <v>0</v>
      </c>
      <c r="J241" s="111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2255.5400000000004</v>
      </c>
      <c r="K241" s="200">
        <f t="shared" si="23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ca="1">กาญจนบุรี!L242+จันทบุรี!L242+ฉะเชิงเทรา!L242+ชลบุรี!L242+ชัยนาท!L242+ตราด!L242+นครนายก!L242+นครปฐม!L242+ปทุมธานี!L242+ประจวบคีรีขันธ์!L242+ปราจีนบุรี!L242+พระนครศรีอยุธยา!L242+เพชรบุรี!L242+ระยอง!L242+ราชบุรี!L242+ลพบุรี!L242+สระแก้ว!L242+สระบุรี!L242+สิงห์บุรี!L242+สุพรรณบุรี!L242+อ่างทอง!L242</f>
        <v>27130558</v>
      </c>
      <c r="M242" s="213">
        <f>กาญจนบุรี!M242+จันทบุรี!M242+ฉะเชิงเทรา!M242+ชลบุรี!M242+ชัยนาท!M242+ตราด!M242+นครนายก!M242+นครปฐม!M242+ปทุมธานี!M242+ประจวบคีรีขันธ์!M242+ปราจีนบุรี!M242+พระนครศรีอยุธยา!M242+เพชรบุรี!M242+ระยอง!M242+ราชบุรี!M242+ลพบุรี!M242+สระแก้ว!M242+สระบุรี!M242+สิงห์บุรี!M242+สุพรรณบุรี!M242+อ่างทอง!M242</f>
        <v>669152.41</v>
      </c>
      <c r="N242" s="213">
        <f ca="1">+IF(L242&gt;0,M242*100/L242,0)</f>
        <v>2.4664159506044809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634</v>
      </c>
      <c r="J244" s="226">
        <f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227">
        <f t="shared" ref="K244:K245" ca="1" si="24">IF(I244&gt;0,J244*100/I244,0)</f>
        <v>0</v>
      </c>
      <c r="L244" s="228">
        <f ca="1">กาญจนบุรี!L244+จันทบุรี!L244+ฉะเชิงเทรา!L244+ชลบุรี!L244+ชัยนาท!L244+ตราด!L244+นครนายก!L244+นครปฐม!L244+ปทุมธานี!L244+ประจวบคีรีขันธ์!L244+ปราจีนบุรี!L244+พระนครศรีอยุธยา!L244+เพชรบุรี!L244+ระยอง!L244+ราชบุรี!L244+ลพบุรี!L244+สระแก้ว!L244+สระบุรี!L244+สิงห์บุรี!L244+สุพรรณบุรี!L244+อ่างทอง!L244</f>
        <v>2223740</v>
      </c>
      <c r="M244" s="228">
        <f>กาญจนบุรี!M244+จันทบุรี!M244+ฉะเชิงเทรา!M244+ชลบุรี!M244+ชัยนาท!M244+ตราด!M244+นครนายก!M244+นครปฐม!M244+ปทุมธานี!M244+ประจวบคีรีขันธ์!M244+ปราจีนบุรี!M244+พระนครศรีอยุธยา!M244+เพชรบุรี!M244+ระยอง!M244+ราชบุรี!M244+ลพบุรี!M244+สระแก้ว!M244+สระบุรี!M244+สิงห์บุรี!M244+สุพรรณบุรี!M244+อ่างทอง!M244</f>
        <v>32606</v>
      </c>
      <c r="N244" s="228">
        <f ca="1">+IF(L244&gt;0,M244*100/L244,0)</f>
        <v>1.4662685385881442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ca="1">กาญจนบุรี!I245+จันทบุรี!I245+ฉะเชิงเทรา!I245+ชลบุรี!I245+ชัยนาท!I245+ตราด!I245+นครนายก!I245+นครปฐม!I245+ปทุมธานี!I245+ประจวบคีรีขันธ์!I245+ปราจีนบุรี!I245+พระนครศรีอยุธยา!I245+เพชรบุรี!I245+ระยอง!I245+ราชบุรี!I245+ลพบุรี!I245+สระแก้ว!I245+สระบุรี!I245+สิงห์บุรี!I245+สุพรรณบุรี!I245+อ่างทอง!I245</f>
        <v>292</v>
      </c>
      <c r="J245" s="226">
        <f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227">
        <f t="shared" ca="1" si="24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f>กาญจนบุรี!L246+จันทบุรี!L246+ฉะเชิงเทรา!L246+ชลบุรี!L246+ชัยนาท!L246+ตราด!L246+นครนายก!L246+นครปฐม!L246+ปทุมธานี!L246+ประจวบคีรีขันธ์!L246+ปราจีนบุรี!L246+พระนครศรีอยุธยา!L246+เพชรบุรี!L246+ระยอง!L246+ราชบุรี!L246+ลพบุรี!L246+สระแก้ว!L246+สระบุรี!L246+สิงห์บุรี!L246+สุพรรณบุรี!L246+อ่างทอง!L246</f>
        <v>0</v>
      </c>
      <c r="M246" s="49">
        <f>กาญจนบุรี!M246+จันทบุรี!M246+ฉะเชิงเทรา!M246+ชลบุรี!M246+ชัยนาท!M246+ตราด!M246+นครนายก!M246+นครปฐม!M246+ปทุมธานี!M246+ประจวบคีรีขันธ์!M246+ปราจีนบุรี!M246+พระนครศรีอยุธยา!M246+เพชรบุรี!M246+ระยอง!M246+ราชบุรี!M246+ลพบุรี!M246+สระแก้ว!M246+สระบุรี!M246+สิงห์บุรี!M246+สุพรรณบุรี!M246+อ่างทอง!M246</f>
        <v>0</v>
      </c>
      <c r="N246" s="49">
        <f t="shared" ref="N246:N249" si="25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ca="1">กาญจนบุรี!L247+จันทบุรี!L247+ฉะเชิงเทรา!L247+ชลบุรี!L247+ชัยนาท!L247+ตราด!L247+นครนายก!L247+นครปฐม!L247+ปทุมธานี!L247+ประจวบคีรีขันธ์!L247+ปราจีนบุรี!L247+พระนครศรีอยุธยา!L247+เพชรบุรี!L247+ระยอง!L247+ราชบุรี!L247+ลพบุรี!L247+สระแก้ว!L247+สระบุรี!L247+สิงห์บุรี!L247+สุพรรณบุรี!L247+อ่างทอง!L247</f>
        <v>2223740</v>
      </c>
      <c r="M247" s="49">
        <f>กาญจนบุรี!M247+จันทบุรี!M247+ฉะเชิงเทรา!M247+ชลบุรี!M247+ชัยนาท!M247+ตราด!M247+นครนายก!M247+นครปฐม!M247+ปทุมธานี!M247+ประจวบคีรีขันธ์!M247+ปราจีนบุรี!M247+พระนครศรีอยุธยา!M247+เพชรบุรี!M247+ระยอง!M247+ราชบุรี!M247+ลพบุรี!M247+สระแก้ว!M247+สระบุรี!M247+สิงห์บุรี!M247+สุพรรณบุรี!M247+อ่างทอง!M247</f>
        <v>32606</v>
      </c>
      <c r="N247" s="49">
        <f t="shared" ca="1" si="25"/>
        <v>1.4662685385881442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กาญจนบุรี!L248+จันทบุรี!L248+ฉะเชิงเทรา!L248+ชลบุรี!L248+ชัยนาท!L248+ตราด!L248+นครนายก!L248+นครปฐม!L248+ปทุมธานี!L248+ประจวบคีรีขันธ์!L248+ปราจีนบุรี!L248+พระนครศรีอยุธยา!L248+เพชรบุรี!L248+ระยอง!L248+ราชบุรี!L248+ลพบุรี!L248+สระแก้ว!L248+สระบุรี!L248+สิงห์บุรี!L248+สุพรรณบุรี!L248+อ่างทอง!L248</f>
        <v>0</v>
      </c>
      <c r="M248" s="52">
        <f>กาญจนบุรี!M248+จันทบุรี!M248+ฉะเชิงเทรา!M248+ชลบุรี!M248+ชัยนาท!M248+ตราด!M248+นครนายก!M248+นครปฐม!M248+ปทุมธานี!M248+ประจวบคีรีขันธ์!M248+ปราจีนบุรี!M248+พระนครศรีอยุธยา!M248+เพชรบุรี!M248+ระยอง!M248+ราชบุรี!M248+ลพบุรี!M248+สระแก้ว!M248+สระบุรี!M248+สิงห์บุรี!M248+สุพรรณบุรี!M248+อ่างทอง!M248</f>
        <v>0</v>
      </c>
      <c r="N248" s="52">
        <f t="shared" ca="1" si="25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กาญจนบุรี!L249+จันทบุรี!L249+ฉะเชิงเทรา!L249+ชลบุรี!L249+ชัยนาท!L249+ตราด!L249+นครนายก!L249+นครปฐม!L249+ปทุมธานี!L249+ประจวบคีรีขันธ์!L249+ปราจีนบุรี!L249+พระนครศรีอยุธยา!L249+เพชรบุรี!L249+ระยอง!L249+ราชบุรี!L249+ลพบุรี!L249+สระแก้ว!L249+สระบุรี!L249+สิงห์บุรี!L249+สุพรรณบุรี!L249+อ่างทอง!L249</f>
        <v>2223740</v>
      </c>
      <c r="M249" s="52">
        <f>กาญจนบุรี!M249+จันทบุรี!M249+ฉะเชิงเทรา!M249+ชลบุรี!M249+ชัยนาท!M249+ตราด!M249+นครนายก!M249+นครปฐม!M249+ปทุมธานี!M249+ประจวบคีรีขันธ์!M249+ปราจีนบุรี!M249+พระนครศรีอยุธยา!M249+เพชรบุรี!M249+ระยอง!M249+ราชบุรี!M249+ลพบุรี!M249+สระแก้ว!M249+สระบุรี!M249+สิงห์บุรี!M249+สุพรรณบุรี!M249+อ่างทอง!M249</f>
        <v>32606</v>
      </c>
      <c r="N249" s="52">
        <f t="shared" ca="1" si="25"/>
        <v>1.4662685385881442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f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f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27866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4740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f>กาญจนบุรี!J255+จันทบุรี!J255+ฉะเชิงเทรา!J255+ชลบุรี!J255+ชัยนาท!J255+ตราด!J255+นครนายก!J255+นครปฐม!J255+ปทุมธานี!J255+ประจวบคีรีขันธ์!J255+ปราจีนบุรี!J255+พระนครศรีอยุธยา!J255+เพชรบุรี!J255+ระยอง!J255+ราชบุรี!J255+ลพบุรี!J255+สระแก้ว!J255+สระบุรี!J255+สิงห์บุรี!J255+สุพรรณบุรี!J255+อ่างทอง!J255</f>
        <v>3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f>กาญจนบุรี!J256+จันทบุรี!J256+ฉะเชิงเทรา!J256+ชลบุรี!J256+ชัยนาท!J256+ตราด!J256+นครนายก!J256+นครปฐม!J256+ปทุมธานี!J256+ประจวบคีรีขันธ์!J256+ปราจีนบุรี!J256+พระนครศรีอยุธยา!J256+เพชรบุรี!J256+ระยอง!J256+ราชบุรี!J256+ลพบุรี!J256+สระแก้ว!J256+สระบุรี!J256+สิงห์บุรี!J256+สุพรรณบุรี!J256+อ่างทอง!J256</f>
        <v>7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f>กาญจนบุรี!J257+จันทบุรี!J257+ฉะเชิงเทรา!J257+ชลบุรี!J257+ชัยนาท!J257+ตราด!J257+นครนายก!J257+นครปฐม!J257+ปทุมธานี!J257+ประจวบคีรีขันธ์!J257+ปราจีนบุรี!J257+พระนครศรีอยุธยา!J257+เพชรบุรี!J257+ระยอง!J257+ราชบุรี!J257+ลพบุรี!J257+สระแก้ว!J257+สระบุรี!J257+สิงห์บุรี!J257+สุพรรณบุรี!J257+อ่างทอง!J257</f>
        <v>4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f>กาญจนบุรี!J258+จันทบุรี!J258+ฉะเชิงเทรา!J258+ชลบุรี!J258+ชัยนาท!J258+ตราด!J258+นครนายก!J258+นครปฐม!J258+ปทุมธานี!J258+ประจวบคีรีขันธ์!J258+ปราจีนบุรี!J258+พระนครศรีอยุธยา!J258+เพชรบุรี!J258+ระยอง!J258+ราชบุรี!J258+ลพบุรี!J258+สระแก้ว!J258+สระบุรี!J258+สิงห์บุรี!J258+สุพรรณบุรี!J258+อ่างทอง!J258</f>
        <v>3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กาญจนบุรี!J259+จันทบุรี!J259+ฉะเชิงเทรา!J259+ชลบุรี!J259+ชัยนาท!J259+ตราด!J259+นครนายก!J259+นครปฐม!J259+ปทุมธานี!J259+ประจวบคีรีขันธ์!J259+ปราจีนบุรี!J259+พระนครศรีอยุธยา!J259+เพชรบุรี!J259+ระยอง!J259+ราชบุรี!J259+ลพบุรี!J259+สระแก้ว!J259+สระบุรี!J259+สิงห์บุรี!J259+สุพรรณบุรี!J259+อ่างทอง!J259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กาญจนบุรี!I260+จันทบุรี!I260+ฉะเชิงเทรา!I260+ชลบุรี!I260+ชัยนาท!I260+ตราด!I260+นครนายก!I260+นครปฐม!I260+ปทุมธานี!I260+ประจวบคีรีขันธ์!I260+ปราจีนบุรี!I260+พระนครศรีอยุธยา!I260+เพชรบุรี!I260+ระยอง!I260+ราชบุรี!I260+ลพบุรี!I260+สระแก้ว!I260+สระบุรี!I260+สิงห์บุรี!I260+สุพรรณบุรี!I260+อ่างทอง!I260</f>
        <v>0</v>
      </c>
      <c r="J260" s="67">
        <f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ca="1">กาญจนบุรี!I262+จันทบุรี!I262+ฉะเชิงเทรา!I262+ชลบุรี!I262+ชัยนาท!I262+ตราด!I262+นครนายก!I262+นครปฐม!I262+ปทุมธานี!I262+ประจวบคีรีขันธ์!I262+ปราจีนบุรี!I262+พระนครศรีอยุธยา!I262+เพชรบุรี!I262+ระยอง!I262+ราชบุรี!I262+ลพบุรี!I262+สระแก้ว!I262+สระบุรี!I262+สิงห์บุรี!I262+สุพรรณบุรี!I262+อ่างทอง!I262</f>
        <v>634</v>
      </c>
      <c r="J262" s="66">
        <f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0</v>
      </c>
      <c r="K262" s="48">
        <f t="shared" ref="K262:K268" ca="1" si="26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75"/>
      <c r="H263" s="65" t="s">
        <v>16</v>
      </c>
      <c r="I263" s="66">
        <f ca="1">กาญจนบุรี!I263+จันทบุรี!I263+ฉะเชิงเทรา!I263+ชลบุรี!I263+ชัยนาท!I263+ตราด!I263+นครนายก!I263+นครปฐม!I263+ปทุมธานี!I263+ประจวบคีรีขันธ์!I263+ปราจีนบุรี!I263+พระนครศรีอยุธยา!I263+เพชรบุรี!I263+ระยอง!I263+ราชบุรี!I263+ลพบุรี!I263+สระแก้ว!I263+สระบุรี!I263+สิงห์บุรี!I263+สุพรรณบุรี!I263+อ่างทอง!I263</f>
        <v>292</v>
      </c>
      <c r="J263" s="66">
        <f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0</v>
      </c>
      <c r="K263" s="48">
        <f t="shared" ca="1" si="26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75"/>
      <c r="H264" s="59" t="s">
        <v>103</v>
      </c>
      <c r="I264" s="47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327</v>
      </c>
      <c r="J264" s="67">
        <f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0</v>
      </c>
      <c r="K264" s="48">
        <f t="shared" ca="1" si="26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292</v>
      </c>
      <c r="J265" s="67">
        <f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0</v>
      </c>
      <c r="K265" s="48">
        <f t="shared" ca="1" si="26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75"/>
      <c r="H266" s="59" t="s">
        <v>103</v>
      </c>
      <c r="I266" s="47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307</v>
      </c>
      <c r="J266" s="67">
        <f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0</v>
      </c>
      <c r="K266" s="48">
        <f t="shared" ca="1" si="26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292</v>
      </c>
      <c r="J267" s="67">
        <f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0</v>
      </c>
      <c r="K267" s="48">
        <f t="shared" ca="1" si="26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กาญจนบุรี!I268+จันทบุรี!I268+ฉะเชิงเทรา!I268+ชลบุรี!I268+ชัยนาท!I268+ตราด!I268+นครนายก!I268+นครปฐม!I268+ปทุมธานี!I268+ประจวบคีรีขันธ์!I268+ปราจีนบุรี!I268+พระนครศรีอยุธยา!I268+เพชรบุรี!I268+ระยอง!I268+ราชบุรี!I268+ลพบุรี!I268+สระแก้ว!I268+สระบุรี!I268+สิงห์บุรี!I268+สุพรรณบุรี!I268+อ่างทอง!I268</f>
        <v>0</v>
      </c>
      <c r="J268" s="67">
        <f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0</v>
      </c>
      <c r="K268" s="48">
        <f t="shared" ca="1" si="26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47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634</v>
      </c>
      <c r="J270" s="66">
        <f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0</v>
      </c>
      <c r="K270" s="48">
        <f t="shared" ref="K270:K272" ca="1" si="27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กาญจนบุรี!I271+จันทบุรี!I271+ฉะเชิงเทรา!I271+ชลบุรี!I271+ชัยนาท!I271+ตราด!I271+นครนายก!I271+นครปฐม!I271+ปทุมธานี!I271+ประจวบคีรีขันธ์!I271+ปราจีนบุรี!I271+พระนครศรีอยุธยา!I271+เพชรบุรี!I271+ระยอง!I271+ราชบุรี!I271+ลพบุรี!I271+สระแก้ว!I271+สระบุรี!I271+สิงห์บุรี!I271+สุพรรณบุรี!I271+อ่างทอง!I271</f>
        <v>307</v>
      </c>
      <c r="J271" s="67">
        <f>กาญจนบุรี!J271+จันทบุรี!J271+ฉะเชิงเทรา!J271+ชลบุรี!J271+ชัยนาท!J271+ตราด!J271+นครนายก!J271+นครปฐม!J271+ปทุมธานี!J271+ประจวบคีรีขันธ์!J271+ปราจีนบุรี!J271+พระนครศรีอยุธยา!J271+เพชรบุรี!J271+ระยอง!J271+ราชบุรี!J271+ลพบุรี!J271+สระแก้ว!J271+สระบุรี!J271+สิงห์บุรี!J271+สุพรรณบุรี!J271+อ่างทอง!J271</f>
        <v>0</v>
      </c>
      <c r="K271" s="48">
        <f t="shared" ca="1" si="27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กาญจนบุรี!I272+จันทบุรี!I272+ฉะเชิงเทรา!I272+ชลบุรี!I272+ชัยนาท!I272+ตราด!I272+นครนายก!I272+นครปฐม!I272+ปทุมธานี!I272+ประจวบคีรีขันธ์!I272+ปราจีนบุรี!I272+พระนครศรีอยุธยา!I272+เพชรบุรี!I272+ระยอง!I272+ราชบุรี!I272+ลพบุรี!I272+สระแก้ว!I272+สระบุรี!I272+สิงห์บุรี!I272+สุพรรณบุรี!I272+อ่างทอง!I272</f>
        <v>327</v>
      </c>
      <c r="J272" s="67">
        <f>กาญจนบุรี!J272+จันทบุรี!J272+ฉะเชิงเทรา!J272+ชลบุรี!J272+ชัยนาท!J272+ตราด!J272+นครนายก!J272+นครปฐม!J272+ปทุมธานี!J272+ประจวบคีรีขันธ์!J272+ปราจีนบุรี!J272+พระนครศรีอยุธยา!J272+เพชรบุรี!J272+ระยอง!J272+ราชบุรี!J272+ลพบุรี!J272+สระแก้ว!J272+สระบุรี!J272+สิงห์บุรี!J272+สุพรรณบุรี!J272+อ่างทอง!J272</f>
        <v>0</v>
      </c>
      <c r="K272" s="48">
        <f t="shared" ca="1" si="27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f>กาญจนบุรี!J273+จันทบุรี!J273+ฉะเชิงเทรา!J273+ชลบุรี!J273+ชัยนาท!J273+ตราด!J273+นครนายก!J273+นครปฐม!J273+ปทุมธานี!J273+ประจวบคีรีขันธ์!J273+ปราจีนบุรี!J273+พระนครศรีอยุธยา!J273+เพชรบุรี!J273+ระยอง!J273+ราชบุรี!J273+ลพบุรี!J273+สระแก้ว!J273+สระบุรี!J273+สิงห์บุรี!J273+สุพรรณบุรี!J273+อ่างทอง!J273</f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f>กาญจนบุรี!J274+จันทบุรี!J274+ฉะเชิงเทรา!J274+ชลบุรี!J274+ชัยนาท!J274+ตราด!J274+นครนายก!J274+นครปฐม!J274+ปทุมธานี!J274+ประจวบคีรีขันธ์!J274+ปราจีนบุรี!J274+พระนครศรีอยุธยา!J274+เพชรบุรี!J274+ระยอง!J274+ราชบุรี!J274+ลพบุรี!J274+สระแก้ว!J274+สระบุรี!J274+สิงห์บุรี!J274+สุพรรณบุรี!J274+อ่างทอง!J274</f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กาญจนบุรี!I275+จันทบุรี!I275+ฉะเชิงเทรา!I275+ชลบุรี!I275+ชัยนาท!I275+ตราด!I275+นครนายก!I275+นครปฐม!I275+ปทุมธานี!I275+ประจวบคีรีขันธ์!I275+ปราจีนบุรี!I275+พระนครศรีอยุธยา!I275+เพชรบุรี!I275+ระยอง!I275+ราชบุรี!I275+ลพบุรี!I275+สระแก้ว!I275+สระบุรี!I275+สิงห์บุรี!I275+สุพรรณบุรี!I275+อ่างทอง!I275</f>
        <v>8800</v>
      </c>
      <c r="J275" s="226">
        <f>กาญจนบุรี!J275+จันทบุรี!J275+ฉะเชิงเทรา!J275+ชลบุรี!J275+ชัยนาท!J275+ตราด!J275+นครนายก!J275+นครปฐม!J275+ปทุมธานี!J275+ประจวบคีรีขันธ์!J275+ปราจีนบุรี!J275+พระนครศรีอยุธยา!J275+เพชรบุรี!J275+ระยอง!J275+ราชบุรี!J275+ลพบุรี!J275+สระแก้ว!J275+สระบุรี!J275+สิงห์บุรี!J275+สุพรรณบุรี!J275+อ่างทอง!J275</f>
        <v>0</v>
      </c>
      <c r="K275" s="227">
        <f t="shared" ref="K275:K276" ca="1" si="28">IF(I275&gt;0,J275*100/I275,0)</f>
        <v>0</v>
      </c>
      <c r="L275" s="228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8972320</v>
      </c>
      <c r="M275" s="228">
        <f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104440.34999999999</v>
      </c>
      <c r="N275" s="228">
        <f ca="1">+IF(L275&gt;0,M275*100/L275,0)</f>
        <v>1.164028367245038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กาญจนบุรี!I276+จันทบุรี!I276+ฉะเชิงเทรา!I276+ชลบุรี!I276+ชัยนาท!I276+ตราด!I276+นครนายก!I276+นครปฐม!I276+ปทุมธานี!I276+ประจวบคีรีขันธ์!I276+ปราจีนบุรี!I276+พระนครศรีอยุธยา!I276+เพชรบุรี!I276+ระยอง!I276+ราชบุรี!I276+ลพบุรี!I276+สระแก้ว!I276+สระบุรี!I276+สิงห์บุรี!I276+สุพรรณบุรี!I276+อ่างทอง!I276</f>
        <v>880</v>
      </c>
      <c r="J276" s="226">
        <f>กาญจนบุรี!J276+จันทบุรี!J276+ฉะเชิงเทรา!J276+ชลบุรี!J276+ชัยนาท!J276+ตราด!J276+นครนายก!J276+นครปฐม!J276+ปทุมธานี!J276+ประจวบคีรีขันธ์!J276+ปราจีนบุรี!J276+พระนครศรีอยุธยา!J276+เพชรบุรี!J276+ระยอง!J276+ราชบุรี!J276+ลพบุรี!J276+สระแก้ว!J276+สระบุรี!J276+สิงห์บุรี!J276+สุพรรณบุรี!J276+อ่างทอง!J276</f>
        <v>110</v>
      </c>
      <c r="K276" s="227">
        <f t="shared" ca="1" si="28"/>
        <v>12.5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f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0</v>
      </c>
      <c r="M277" s="49">
        <f>กาญจนบุรี!M277+จันทบุรี!M277+ฉะเชิงเทรา!M277+ชลบุรี!M277+ชัยนาท!M277+ตราด!M277+นครนายก!M277+นครปฐม!M277+ปทุมธานี!M277+ประจวบคีรีขันธ์!M277+ปราจีนบุรี!M277+พระนครศรีอยุธยา!M277+เพชรบุรี!M277+ระยอง!M277+ราชบุรี!M277+ลพบุรี!M277+สระแก้ว!M277+สระบุรี!M277+สิงห์บุรี!M277+สุพรรณบุรี!M277+อ่างทอง!M277</f>
        <v>0</v>
      </c>
      <c r="N277" s="49">
        <f t="shared" ref="N277:N280" si="29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ca="1"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8972320</v>
      </c>
      <c r="M278" s="49">
        <f>กาญจนบุรี!M278+จันทบุรี!M278+ฉะเชิงเทรา!M278+ชลบุรี!M278+ชัยนาท!M278+ตราด!M278+นครนายก!M278+นครปฐม!M278+ปทุมธานี!M278+ประจวบคีรีขันธ์!M278+ปราจีนบุรี!M278+พระนครศรีอยุธยา!M278+เพชรบุรี!M278+ระยอง!M278+ราชบุรี!M278+ลพบุรี!M278+สระแก้ว!M278+สระบุรี!M278+สิงห์บุรี!M278+สุพรรณบุรี!M278+อ่างทอง!M278</f>
        <v>104440.34999999999</v>
      </c>
      <c r="N278" s="49">
        <f t="shared" ca="1" si="29"/>
        <v>1.164028367245038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52">
        <f>กาญจนบุรี!M279+จันทบุรี!M279+ฉะเชิงเทรา!M279+ชลบุรี!M279+ชัยนาท!M279+ตราด!M279+นครนายก!M279+นครปฐม!M279+ปทุมธานี!M279+ประจวบคีรีขันธ์!M279+ปราจีนบุรี!M279+พระนครศรีอยุธยา!M279+เพชรบุรี!M279+ระยอง!M279+ราชบุรี!M279+ลพบุรี!M279+สระแก้ว!M279+สระบุรี!M279+สิงห์บุรี!M279+สุพรรณบุรี!M279+อ่างทอง!M279</f>
        <v>0</v>
      </c>
      <c r="N279" s="52">
        <f t="shared" ca="1" si="29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กาญจนบุรี!L280+จันทบุรี!L280+ฉะเชิงเทรา!L280+ชลบุรี!L280+ชัยนาท!L280+ตราด!L280+นครนายก!L280+นครปฐม!L280+ปทุมธานี!L280+ประจวบคีรีขันธ์!L280+ปราจีนบุรี!L280+พระนครศรีอยุธยา!L280+เพชรบุรี!L280+ระยอง!L280+ราชบุรี!L280+ลพบุรี!L280+สระแก้ว!L280+สระบุรี!L280+สิงห์บุรี!L280+สุพรรณบุรี!L280+อ่างทอง!L280</f>
        <v>8972320</v>
      </c>
      <c r="M280" s="52">
        <f>กาญจนบุรี!M280+จันทบุรี!M280+ฉะเชิงเทรา!M280+ชลบุรี!M280+ชัยนาท!M280+ตราด!M280+นครนายก!M280+นครปฐม!M280+ปทุมธานี!M280+ประจวบคีรีขันธ์!M280+ปราจีนบุรี!M280+พระนครศรีอยุธยา!M280+เพชรบุรี!M280+ระยอง!M280+ราชบุรี!M280+ลพบุรี!M280+สระแก้ว!M280+สระบุรี!M280+สิงห์บุรี!M280+สุพรรณบุรี!M280+อ่างทอง!M280</f>
        <v>104440.34999999999</v>
      </c>
      <c r="N280" s="52">
        <f t="shared" ca="1" si="29"/>
        <v>1.164028367245038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f>กาญจนบุรี!M281+จันทบุรี!M281+ฉะเชิงเทรา!M281+ชลบุรี!M281+ชัยนาท!M281+ตราด!M281+นครนายก!M281+นครปฐม!M281+ปทุมธานี!M281+ประจวบคีรีขันธ์!M281+ปราจีนบุรี!M281+พระนครศรีอยุธยา!M281+เพชรบุรี!M281+ระยอง!M281+ราชบุรี!M281+ลพบุรี!M281+สระแก้ว!M281+สระบุรี!M281+สิงห์บุรี!M281+สุพรรณบุรี!M281+อ่างทอง!M281</f>
        <v>85948.4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f>กาญจนบุรี!M282+จันทบุรี!M282+ฉะเชิงเทรา!M282+ชลบุรี!M282+ชัยนาท!M282+ตราด!M282+นครนายก!M282+นครปฐม!M282+ปทุมธานี!M282+ประจวบคีรีขันธ์!M282+ปราจีนบุรี!M282+พระนครศรีอยุธยา!M282+เพชรบุรี!M282+ระยอง!M282+ราชบุรี!M282+ลพบุรี!M282+สระแก้ว!M282+สระบุรี!M282+สิงห์บุรี!M282+สุพรรณบุรี!M282+อ่างทอง!M282</f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f>กาญจนบุรี!M283+จันทบุรี!M283+ฉะเชิงเทรา!M283+ชลบุรี!M283+ชัยนาท!M283+ตราด!M283+นครนายก!M283+นครปฐม!M283+ปทุมธานี!M283+ประจวบคีรีขันธ์!M283+ปราจีนบุรี!M283+พระนครศรีอยุธยา!M283+เพชรบุรี!M283+ระยอง!M283+ราชบุรี!M283+ลพบุรี!M283+สระแก้ว!M283+สระบุรี!M283+สิงห์บุรี!M283+สุพรรณบุรี!M283+อ่างทอง!M283</f>
        <v>12841.95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f>กาญจนบุรี!M284+จันทบุรี!M284+ฉะเชิงเทรา!M284+ชลบุรี!M284+ชัยนาท!M284+ตราด!M284+นครนายก!M284+นครปฐม!M284+ปทุมธานี!M284+ประจวบคีรีขันธ์!M284+ปราจีนบุรี!M284+พระนครศรีอยุธยา!M284+เพชรบุรี!M284+ระยอง!M284+ราชบุรี!M284+ลพบุรี!M284+สระแก้ว!M284+สระบุรี!M284+สิงห์บุรี!M284+สุพรรณบุรี!M284+อ่างทอง!M284</f>
        <v>5650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f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2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f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11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f>กาญจนบุรี!J288+จันทบุรี!J288+ฉะเชิงเทรา!J288+ชลบุรี!J288+ชัยนาท!J288+ตราด!J288+นครนายก!J288+นครปฐม!J288+ปทุมธานี!J288+ประจวบคีรีขันธ์!J288+ปราจีนบุรี!J288+พระนครศรีอยุธยา!J288+เพชรบุรี!J288+ระยอง!J288+ราชบุรี!J288+ลพบุรี!J288+สระแก้ว!J288+สระบุรี!J288+สิงห์บุรี!J288+สุพรรณบุรี!J288+อ่างทอง!J288</f>
        <v>7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f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5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กาญจนบุรี!I291+จันทบุรี!I291+ฉะเชิงเทรา!I291+ชลบุรี!I291+ชัยนาท!I291+ตราด!I291+นครนายก!I291+นครปฐม!I291+ปทุมธานี!I291+ประจวบคีรีขันธ์!I291+ปราจีนบุรี!I291+พระนครศรีอยุธยา!I291+เพชรบุรี!I291+ระยอง!I291+ราชบุรี!I291+ลพบุรี!I291+สระแก้ว!I291+สระบุรี!I291+สิงห์บุรี!I291+สุพรรณบุรี!I291+อ่างทอง!I291</f>
        <v>880</v>
      </c>
      <c r="J291" s="67">
        <f>กาญจนบุรี!J291+จันทบุรี!J291+ฉะเชิงเทรา!J291+ชลบุรี!J291+ชัยนาท!J291+ตราด!J291+นครนายก!J291+นครปฐม!J291+ปทุมธานี!J291+ประจวบคีรีขันธ์!J291+ปราจีนบุรี!J291+พระนครศรีอยุธยา!J291+เพชรบุรี!J291+ระยอง!J291+ราชบุรี!J291+ลพบุรี!J291+สระแก้ว!J291+สระบุรี!J291+สิงห์บุรี!J291+สุพรรณบุรี!J291+อ่างทอง!J291</f>
        <v>110</v>
      </c>
      <c r="K291" s="48">
        <f t="shared" ref="K291:K293" ca="1" si="30">IF(I291&gt;0,J291*100/I291,0)</f>
        <v>12.5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กาญจนบุรี!I292+จันทบุรี!I292+ฉะเชิงเทรา!I292+ชลบุรี!I292+ชัยนาท!I292+ตราด!I292+นครนายก!I292+นครปฐม!I292+ปทุมธานี!I292+ประจวบคีรีขันธ์!I292+ปราจีนบุรี!I292+พระนครศรีอยุธยา!I292+เพชรบุรี!I292+ระยอง!I292+ราชบุรี!I292+ลพบุรี!I292+สระแก้ว!I292+สระบุรี!I292+สิงห์บุรี!I292+สุพรรณบุรี!I292+อ่างทอง!I292</f>
        <v>8800</v>
      </c>
      <c r="J292" s="67">
        <f>กาญจนบุรี!J292+จันทบุรี!J292+ฉะเชิงเทรา!J292+ชลบุรี!J292+ชัยนาท!J292+ตราด!J292+นครนายก!J292+นครปฐม!J292+ปทุมธานี!J292+ประจวบคีรีขันธ์!J292+ปราจีนบุรี!J292+พระนครศรีอยุธยา!J292+เพชรบุรี!J292+ระยอง!J292+ราชบุรี!J292+ลพบุรี!J292+สระแก้ว!J292+สระบุรี!J292+สิงห์บุรี!J292+สุพรรณบุรี!J292+อ่างทอง!J292</f>
        <v>0</v>
      </c>
      <c r="K292" s="48">
        <f t="shared" ca="1" si="30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กาญจนบุรี!I293+จันทบุรี!I293+ฉะเชิงเทรา!I293+ชลบุรี!I293+ชัยนาท!I293+ตราด!I293+นครนายก!I293+นครปฐม!I293+ปทุมธานี!I293+ประจวบคีรีขันธ์!I293+ปราจีนบุรี!I293+พระนครศรีอยุธยา!I293+เพชรบุรี!I293+ระยอง!I293+ราชบุรี!I293+ลพบุรี!I293+สระแก้ว!I293+สระบุรี!I293+สิงห์บุรี!I293+สุพรรณบุรี!I293+อ่างทอง!I293</f>
        <v>880</v>
      </c>
      <c r="J293" s="67">
        <f>กาญจนบุรี!J293+จันทบุรี!J293+ฉะเชิงเทรา!J293+ชลบุรี!J293+ชัยนาท!J293+ตราด!J293+นครนายก!J293+นครปฐม!J293+ปทุมธานี!J293+ประจวบคีรีขันธ์!J293+ปราจีนบุรี!J293+พระนครศรีอยุธยา!J293+เพชรบุรี!J293+ระยอง!J293+ราชบุรี!J293+ลพบุรี!J293+สระแก้ว!J293+สระบุรี!J293+สิงห์บุรี!J293+สุพรรณบุรี!J293+อ่างทอง!J293</f>
        <v>0</v>
      </c>
      <c r="K293" s="48">
        <f t="shared" ca="1" si="30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f>กาญจนบุรี!J294+จันทบุรี!J294+ฉะเชิงเทรา!J294+ชลบุรี!J294+ชัยนาท!J294+ตราด!J294+นครนายก!J294+นครปฐม!J294+ปทุมธานี!J294+ประจวบคีรีขันธ์!J294+ปราจีนบุรี!J294+พระนครศรีอยุธยา!J294+เพชรบุรี!J294+ระยอง!J294+ราชบุรี!J294+ลพบุรี!J294+สระแก้ว!J294+สระบุรี!J294+สิงห์บุรี!J294+สุพรรณบุรี!J294+อ่างทอง!J294</f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f>กาญจนบุรี!J295+จันทบุรี!J295+ฉะเชิงเทรา!J295+ชลบุรี!J295+ชัยนาท!J295+ตราด!J295+นครนายก!J295+นครปฐม!J295+ปทุมธานี!J295+ประจวบคีรีขันธ์!J295+ปราจีนบุรี!J295+พระนครศรีอยุธยา!J295+เพชรบุรี!J295+ระยอง!J295+ราชบุรี!J295+ลพบุรี!J295+สระแก้ว!J295+สระบุรี!J295+สิงห์บุรี!J295+สุพรรณบุรี!J295+อ่างทอง!J295</f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กาญจนบุรี!I296+จันทบุรี!I296+ฉะเชิงเทรา!I296+ชลบุรี!I296+ชัยนาท!I296+ตราด!I296+นครนายก!I296+นครปฐม!I296+ปทุมธานี!I296+ประจวบคีรีขันธ์!I296+ปราจีนบุรี!I296+พระนครศรีอยุธยา!I296+เพชรบุรี!I296+ระยอง!I296+ราชบุรี!I296+ลพบุรี!I296+สระแก้ว!I296+สระบุรี!I296+สิงห์บุรี!I296+สุพรรณบุรี!I296+อ่างทอง!I296</f>
        <v>3015</v>
      </c>
      <c r="J296" s="226">
        <f>กาญจนบุรี!J296+จันทบุรี!J296+ฉะเชิงเทรา!J296+ชลบุรี!J296+ชัยนาท!J296+ตราด!J296+นครนายก!J296+นครปฐม!J296+ปทุมธานี!J296+ประจวบคีรีขันธ์!J296+ปราจีนบุรี!J296+พระนครศรีอยุธยา!J296+เพชรบุรี!J296+ระยอง!J296+ราชบุรี!J296+ลพบุรี!J296+สระแก้ว!J296+สระบุรี!J296+สิงห์บุรี!J296+สุพรรณบุรี!J296+อ่างทอง!J296</f>
        <v>0</v>
      </c>
      <c r="K296" s="227">
        <f t="shared" ref="K296:K297" ca="1" si="31">IF(I296&gt;0,J296*100/I296,0)</f>
        <v>0</v>
      </c>
      <c r="L296" s="228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3392750</v>
      </c>
      <c r="M296" s="228">
        <f>กาญจนบุรี!M296+จันทบุรี!M296+ฉะเชิงเทรา!M296+ชลบุรี!M296+ชัยนาท!M296+ตราด!M296+นครนายก!M296+นครปฐม!M296+ปทุมธานี!M296+ประจวบคีรีขันธ์!M296+ปราจีนบุรี!M296+พระนครศรีอยุธยา!M296+เพชรบุรี!M296+ระยอง!M296+ราชบุรี!M296+ลพบุรี!M296+สระแก้ว!M296+สระบุรี!M296+สิงห์บุรี!M296+สุพรรณบุรี!M296+อ่างทอง!M296</f>
        <v>35420</v>
      </c>
      <c r="N296" s="228">
        <f ca="1">+IF(L296&gt;0,M296*100/L296,0)</f>
        <v>1.0439908628693537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กาญจนบุรี!I297+จันทบุรี!I297+ฉะเชิงเทรา!I297+ชลบุรี!I297+ชัยนาท!I297+ตราด!I297+นครนายก!I297+นครปฐม!I297+ปทุมธานี!I297+ประจวบคีรีขันธ์!I297+ปราจีนบุรี!I297+พระนครศรีอยุธยา!I297+เพชรบุรี!I297+ระยอง!I297+ราชบุรี!I297+ลพบุรี!I297+สระแก้ว!I297+สระบุรี!I297+สิงห์บุรี!I297+สุพรรณบุรี!I297+อ่างทอง!I297</f>
        <v>1005</v>
      </c>
      <c r="J297" s="226">
        <f ca="1">กาญจนบุรี!J297+จันทบุรี!J297+ฉะเชิงเทรา!J297+ชลบุรี!J297+ชัยนาท!J297+ตราด!J297+นครนายก!J297+นครปฐม!J297+ปทุมธานี!J297+ประจวบคีรีขันธ์!J297+ปราจีนบุรี!J297+พระนครศรีอยุธยา!J297+เพชรบุรี!J297+ระยอง!J297+ราชบุรี!J297+ลพบุรี!J297+สระแก้ว!J297+สระบุรี!J297+สิงห์บุรี!J297+สุพรรณบุรี!J297+อ่างทอง!J297</f>
        <v>0</v>
      </c>
      <c r="K297" s="227">
        <f t="shared" ca="1" si="31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f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0</v>
      </c>
      <c r="M298" s="52">
        <f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0</v>
      </c>
      <c r="N298" s="52">
        <f t="shared" ref="N298:N301" si="32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ca="1">กาญจนบุรี!L299+จันทบุรี!L299+ฉะเชิงเทรา!L299+ชลบุรี!L299+ชัยนาท!L299+ตราด!L299+นครนายก!L299+นครปฐม!L299+ปทุมธานี!L299+ประจวบคีรีขันธ์!L299+ปราจีนบุรี!L299+พระนครศรีอยุธยา!L299+เพชรบุรี!L299+ระยอง!L299+ราชบุรี!L299+ลพบุรี!L299+สระแก้ว!L299+สระบุรี!L299+สิงห์บุรี!L299+สุพรรณบุรี!L299+อ่างทอง!L299</f>
        <v>3392750</v>
      </c>
      <c r="M299" s="52">
        <f>กาญจนบุรี!M299+จันทบุรี!M299+ฉะเชิงเทรา!M299+ชลบุรี!M299+ชัยนาท!M299+ตราด!M299+นครนายก!M299+นครปฐม!M299+ปทุมธานี!M299+ประจวบคีรีขันธ์!M299+ปราจีนบุรี!M299+พระนครศรีอยุธยา!M299+เพชรบุรี!M299+ระยอง!M299+ราชบุรี!M299+ลพบุรี!M299+สระแก้ว!M299+สระบุรี!M299+สิงห์บุรี!M299+สุพรรณบุรี!M299+อ่างทอง!M299</f>
        <v>35420</v>
      </c>
      <c r="N299" s="52">
        <f t="shared" ca="1" si="32"/>
        <v>1.0439908628693537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กาญจนบุรี!L300+จันทบุรี!L300+ฉะเชิงเทรา!L300+ชลบุรี!L300+ชัยนาท!L300+ตราด!L300+นครนายก!L300+นครปฐม!L300+ปทุมธานี!L300+ประจวบคีรีขันธ์!L300+ปราจีนบุรี!L300+พระนครศรีอยุธยา!L300+เพชรบุรี!L300+ระยอง!L300+ราชบุรี!L300+ลพบุรี!L300+สระแก้ว!L300+สระบุรี!L300+สิงห์บุรี!L300+สุพรรณบุรี!L300+อ่างทอง!L300</f>
        <v>0</v>
      </c>
      <c r="M300" s="52">
        <f>กาญจนบุรี!M300+จันทบุรี!M300+ฉะเชิงเทรา!M300+ชลบุรี!M300+ชัยนาท!M300+ตราด!M300+นครนายก!M300+นครปฐม!M300+ปทุมธานี!M300+ประจวบคีรีขันธ์!M300+ปราจีนบุรี!M300+พระนครศรีอยุธยา!M300+เพชรบุรี!M300+ระยอง!M300+ราชบุรี!M300+ลพบุรี!M300+สระแก้ว!M300+สระบุรี!M300+สิงห์บุรี!M300+สุพรรณบุรี!M300+อ่างทอง!M300</f>
        <v>0</v>
      </c>
      <c r="N300" s="52">
        <f t="shared" ca="1" si="32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กาญจนบุรี!L301+จันทบุรี!L301+ฉะเชิงเทรา!L301+ชลบุรี!L301+ชัยนาท!L301+ตราด!L301+นครนายก!L301+นครปฐม!L301+ปทุมธานี!L301+ประจวบคีรีขันธ์!L301+ปราจีนบุรี!L301+พระนครศรีอยุธยา!L301+เพชรบุรี!L301+ระยอง!L301+ราชบุรี!L301+ลพบุรี!L301+สระแก้ว!L301+สระบุรี!L301+สิงห์บุรี!L301+สุพรรณบุรี!L301+อ่างทอง!L301</f>
        <v>3392750</v>
      </c>
      <c r="M301" s="52">
        <f>กาญจนบุรี!M301+จันทบุรี!M301+ฉะเชิงเทรา!M301+ชลบุรี!M301+ชัยนาท!M301+ตราด!M301+นครนายก!M301+นครปฐม!M301+ปทุมธานี!M301+ประจวบคีรีขันธ์!M301+ปราจีนบุรี!M301+พระนครศรีอยุธยา!M301+เพชรบุรี!M301+ระยอง!M301+ราชบุรี!M301+ลพบุรี!M301+สระแก้ว!M301+สระบุรี!M301+สิงห์บุรี!M301+สุพรรณบุรี!M301+อ่างทอง!M301</f>
        <v>35420</v>
      </c>
      <c r="N301" s="52">
        <f t="shared" ca="1" si="32"/>
        <v>1.0439908628693537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f>กาญจนบุรี!M302+จันทบุรี!M302+ฉะเชิงเทรา!M302+ชลบุรี!M302+ชัยนาท!M302+ตราด!M302+นครนายก!M302+นครปฐม!M302+ปทุมธานี!M302+ประจวบคีรีขันธ์!M302+ปราจีนบุรี!M302+พระนครศรีอยุธยา!M302+เพชรบุรี!M302+ระยอง!M302+ราชบุรี!M302+ลพบุรี!M302+สระแก้ว!M302+สระบุรี!M302+สิงห์บุรี!M302+สุพรรณบุรี!M302+อ่างทอง!M302</f>
        <v>30860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f>กาญจนบุรี!M303+จันทบุรี!M303+ฉะเชิงเทรา!M303+ชลบุรี!M303+ชัยนาท!M303+ตราด!M303+นครนายก!M303+นครปฐม!M303+ปทุมธานี!M303+ประจวบคีรีขันธ์!M303+ปราจีนบุรี!M303+พระนครศรีอยุธยา!M303+เพชรบุรี!M303+ระยอง!M303+ราชบุรี!M303+ลพบุรี!M303+สระแก้ว!M303+สระบุรี!M303+สิงห์บุรี!M303+สุพรรณบุรี!M303+อ่างทอง!M303</f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f>กาญจนบุรี!M304+จันทบุรี!M304+ฉะเชิงเทรา!M304+ชลบุรี!M304+ชัยนาท!M304+ตราด!M304+นครนายก!M304+นครปฐม!M304+ปทุมธานี!M304+ประจวบคีรีขันธ์!M304+ปราจีนบุรี!M304+พระนครศรีอยุธยา!M304+เพชรบุรี!M304+ระยอง!M304+ราชบุรี!M304+ลพบุรี!M304+สระแก้ว!M304+สระบุรี!M304+สิงห์บุรี!M304+สุพรรณบุรี!M304+อ่างทอง!M304</f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f>กาญจนบุรี!M305+จันทบุรี!M305+ฉะเชิงเทรา!M305+ชลบุรี!M305+ชัยนาท!M305+ตราด!M305+นครนายก!M305+นครปฐม!M305+ปทุมธานี!M305+ประจวบคีรีขันธ์!M305+ปราจีนบุรี!M305+พระนครศรีอยุธยา!M305+เพชรบุรี!M305+ระยอง!M305+ราชบุรี!M305+ลพบุรี!M305+สระแก้ว!M305+สระบุรี!M305+สิงห์บุรี!M305+สุพรรณบุรี!M305+อ่างทอง!M305</f>
        <v>4560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f>กาญจนบุรี!J307+จันทบุรี!J307+ฉะเชิงเทรา!J307+ชลบุรี!J307+ชัยนาท!J307+ตราด!J307+นครนายก!J307+นครปฐม!J307+ปทุมธานี!J307+ประจวบคีรีขันธ์!J307+ปราจีนบุรี!J307+พระนครศรีอยุธยา!J307+เพชรบุรี!J307+ระยอง!J307+ราชบุรี!J307+ลพบุรี!J307+สระแก้ว!J307+สระบุรี!J307+สิงห์บุรี!J307+สุพรรณบุรี!J307+อ่างทอง!J307</f>
        <v>10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f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7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f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3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f>กาญจนบุรี!J310+จันทบุรี!J310+ฉะเชิงเทรา!J310+ชลบุรี!J310+ชัยนาท!J310+ตราด!J310+นครนายก!J310+นครปฐม!J310+ปทุมธานี!J310+ประจวบคีรีขันธ์!J310+ปราจีนบุรี!J310+พระนครศรีอยุธยา!J310+เพชรบุรี!J310+ระยอง!J310+ราชบุรี!J310+ลพบุรี!J310+สระแก้ว!J310+สระบุรี!J310+สิงห์บุรี!J310+สุพรรณบุรี!J310+อ่างทอง!J310</f>
        <v>1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ca="1">กาญจนบุรี!I311+จันทบุรี!I311+ฉะเชิงเทรา!I311+ชลบุรี!I311+ชัยนาท!I311+ตราด!I311+นครนายก!I311+นครปฐม!I311+ปทุมธานี!I311+ประจวบคีรีขันธ์!I311+ปราจีนบุรี!I311+พระนครศรีอยุธยา!I311+เพชรบุรี!I311+ระยอง!I311+ราชบุรี!I311+ลพบุรี!I311+สระแก้ว!I311+สระบุรี!I311+สิงห์บุรี!I311+สุพรรณบุรี!I311+อ่างทอง!I311</f>
        <v>1005</v>
      </c>
      <c r="J311" s="78">
        <f ca="1">กาญจนบุรี!J311+จันทบุรี!J311+ฉะเชิงเทรา!J311+ชลบุรี!J311+ชัยนาท!J311+ตราด!J311+นครนายก!J311+นครปฐม!J311+ปทุมธานี!J311+ประจวบคีรีขันธ์!J311+ปราจีนบุรี!J311+พระนครศรีอยุธยา!J311+เพชรบุรี!J311+ระยอง!J311+ราชบุรี!J311+ลพบุรี!J311+สระแก้ว!J311+สระบุรี!J311+สิงห์บุรี!J311+สุพรรณบุรี!J311+อ่างทอง!J311</f>
        <v>0</v>
      </c>
      <c r="K311" s="79">
        <f t="shared" ref="K311:K327" ca="1" si="3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กาญจนบุรี!I312+จันทบุรี!I312+ฉะเชิงเทรา!I312+ชลบุรี!I312+ชัยนาท!I312+ตราด!I312+นครนายก!I312+นครปฐม!I312+ปทุมธานี!I312+ประจวบคีรีขันธ์!I312+ปราจีนบุรี!I312+พระนครศรีอยุธยา!I312+เพชรบุรี!I312+ระยอง!I312+ราชบุรี!I312+ลพบุรี!I312+สระแก้ว!I312+สระบุรี!I312+สิงห์บุรี!I312+สุพรรณบุรี!I312+อ่างทอง!I312</f>
        <v>238</v>
      </c>
      <c r="J312" s="153">
        <f ca="1">กาญจนบุรี!J312+จันทบุรี!J312+ฉะเชิงเทรา!J312+ชลบุรี!J312+ชัยนาท!J312+ตราด!J312+นครนายก!J312+นครปฐม!J312+ปทุมธานี!J312+ประจวบคีรีขันธ์!J312+ปราจีนบุรี!J312+พระนครศรีอยุธยา!J312+เพชรบุรี!J312+ระยอง!J312+ราชบุรี!J312+ลพบุรี!J312+สระแก้ว!J312+สระบุรี!J312+สิงห์บุรี!J312+สุพรรณบุรี!J312+อ่างทอง!J312</f>
        <v>0</v>
      </c>
      <c r="K312" s="79">
        <f t="shared" ca="1" si="3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กาญจนบุรี!I313+จันทบุรี!I313+ฉะเชิงเทรา!I313+ชลบุรี!I313+ชัยนาท!I313+ตราด!I313+นครนายก!I313+นครปฐม!I313+ปทุมธานี!I313+ประจวบคีรีขันธ์!I313+ปราจีนบุรี!I313+พระนครศรีอยุธยา!I313+เพชรบุรี!I313+ระยอง!I313+ราชบุรี!I313+ลพบุรี!I313+สระแก้ว!I313+สระบุรี!I313+สิงห์บุรี!I313+สุพรรณบุรี!I313+อ่างทอง!I313</f>
        <v>714</v>
      </c>
      <c r="J313" s="153">
        <f>กาญจนบุรี!J313+จันทบุรี!J313+ฉะเชิงเทรา!J313+ชลบุรี!J313+ชัยนาท!J313+ตราด!J313+นครนายก!J313+นครปฐม!J313+ปทุมธานี!J313+ประจวบคีรีขันธ์!J313+ปราจีนบุรี!J313+พระนครศรีอยุธยา!J313+เพชรบุรี!J313+ระยอง!J313+ราชบุรี!J313+ลพบุรี!J313+สระแก้ว!J313+สระบุรี!J313+สิงห์บุรี!J313+สุพรรณบุรี!J313+อ่างทอง!J313</f>
        <v>0</v>
      </c>
      <c r="K313" s="79">
        <f t="shared" ca="1" si="3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กาญจนบุรี!I314+จันทบุรี!I314+ฉะเชิงเทรา!I314+ชลบุรี!I314+ชัยนาท!I314+ตราด!I314+นครนายก!I314+นครปฐม!I314+ปทุมธานี!I314+ประจวบคีรีขันธ์!I314+ปราจีนบุรี!I314+พระนครศรีอยุธยา!I314+เพชรบุรี!I314+ระยอง!I314+ราชบุรี!I314+ลพบุรี!I314+สระแก้ว!I314+สระบุรี!I314+สิงห์บุรี!I314+สุพรรณบุรี!I314+อ่างทอง!I314</f>
        <v>238</v>
      </c>
      <c r="J314" s="67">
        <f>กาญจนบุรี!J314+จันทบุรี!J314+ฉะเชิงเทรา!J314+ชลบุรี!J314+ชัยนาท!J314+ตราด!J314+นครนายก!J314+นครปฐม!J314+ปทุมธานี!J314+ประจวบคีรีขันธ์!J314+ปราจีนบุรี!J314+พระนครศรีอยุธยา!J314+เพชรบุรี!J314+ระยอง!J314+ราชบุรี!J314+ลพบุรี!J314+สระแก้ว!J314+สระบุรี!J314+สิงห์บุรี!J314+สุพรรณบุรี!J314+อ่างทอง!J314</f>
        <v>0</v>
      </c>
      <c r="K314" s="48">
        <f t="shared" ca="1" si="3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กาญจนบุรี!I315+จันทบุรี!I315+ฉะเชิงเทรา!I315+ชลบุรี!I315+ชัยนาท!I315+ตราด!I315+นครนายก!I315+นครปฐม!I315+ปทุมธานี!I315+ประจวบคีรีขันธ์!I315+ปราจีนบุรี!I315+พระนครศรีอยุธยา!I315+เพชรบุรี!I315+ระยอง!I315+ราชบุรี!I315+ลพบุรี!I315+สระแก้ว!I315+สระบุรี!I315+สิงห์บุรี!I315+สุพรรณบุรี!I315+อ่างทอง!I315</f>
        <v>238</v>
      </c>
      <c r="J315" s="247">
        <f>กาญจนบุรี!J315+จันทบุรี!J315+ฉะเชิงเทรา!J315+ชลบุรี!J315+ชัยนาท!J315+ตราด!J315+นครนายก!J315+นครปฐม!J315+ปทุมธานี!J315+ประจวบคีรีขันธ์!J315+ปราจีนบุรี!J315+พระนครศรีอยุธยา!J315+เพชรบุรี!J315+ระยอง!J315+ราชบุรี!J315+ลพบุรี!J315+สระแก้ว!J315+สระบุรี!J315+สิงห์บุรี!J315+สุพรรณบุรี!J315+อ่างทอง!J315</f>
        <v>0</v>
      </c>
      <c r="K315" s="113">
        <f t="shared" ca="1" si="3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กาญจนบุรี!I316+จันทบุรี!I316+ฉะเชิงเทรา!I316+ชลบุรี!I316+ชัยนาท!I316+ตราด!I316+นครนายก!I316+นครปฐม!I316+ปทุมธานี!I316+ประจวบคีรีขันธ์!I316+ปราจีนบุรี!I316+พระนครศรีอยุธยา!I316+เพชรบุรี!I316+ระยอง!I316+ราชบุรี!I316+ลพบุรี!I316+สระแก้ว!I316+สระบุรี!I316+สิงห์บุรี!I316+สุพรรณบุรี!I316+อ่างทอง!I316</f>
        <v>531</v>
      </c>
      <c r="J316" s="153">
        <f ca="1">กาญจนบุรี!J316+จันทบุรี!J316+ฉะเชิงเทรา!J316+ชลบุรี!J316+ชัยนาท!J316+ตราด!J316+นครนายก!J316+นครปฐม!J316+ปทุมธานี!J316+ประจวบคีรีขันธ์!J316+ปราจีนบุรี!J316+พระนครศรีอยุธยา!J316+เพชรบุรี!J316+ระยอง!J316+ราชบุรี!J316+ลพบุรี!J316+สระแก้ว!J316+สระบุรี!J316+สิงห์บุรี!J316+สุพรรณบุรี!J316+อ่างทอง!J316</f>
        <v>0</v>
      </c>
      <c r="K316" s="79">
        <f t="shared" ca="1" si="3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กาญจนบุรี!I317+จันทบุรี!I317+ฉะเชิงเทรา!I317+ชลบุรี!I317+ชัยนาท!I317+ตราด!I317+นครนายก!I317+นครปฐม!I317+ปทุมธานี!I317+ประจวบคีรีขันธ์!I317+ปราจีนบุรี!I317+พระนครศรีอยุธยา!I317+เพชรบุรี!I317+ระยอง!I317+ราชบุรี!I317+ลพบุรี!I317+สระแก้ว!I317+สระบุรี!I317+สิงห์บุรี!I317+สุพรรณบุรี!I317+อ่างทอง!I317</f>
        <v>1593</v>
      </c>
      <c r="J317" s="153">
        <f>กาญจนบุรี!J317+จันทบุรี!J317+ฉะเชิงเทรา!J317+ชลบุรี!J317+ชัยนาท!J317+ตราด!J317+นครนายก!J317+นครปฐม!J317+ปทุมธานี!J317+ประจวบคีรีขันธ์!J317+ปราจีนบุรี!J317+พระนครศรีอยุธยา!J317+เพชรบุรี!J317+ระยอง!J317+ราชบุรี!J317+ลพบุรี!J317+สระแก้ว!J317+สระบุรี!J317+สิงห์บุรี!J317+สุพรรณบุรี!J317+อ่างทอง!J317</f>
        <v>0</v>
      </c>
      <c r="K317" s="79">
        <f t="shared" ca="1" si="3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กาญจนบุรี!I318+จันทบุรี!I318+ฉะเชิงเทรา!I318+ชลบุรี!I318+ชัยนาท!I318+ตราด!I318+นครนายก!I318+นครปฐม!I318+ปทุมธานี!I318+ประจวบคีรีขันธ์!I318+ปราจีนบุรี!I318+พระนครศรีอยุธยา!I318+เพชรบุรี!I318+ระยอง!I318+ราชบุรี!I318+ลพบุรี!I318+สระแก้ว!I318+สระบุรี!I318+สิงห์บุรี!I318+สุพรรณบุรี!I318+อ่างทอง!I318</f>
        <v>531</v>
      </c>
      <c r="J318" s="67">
        <f>กาญจนบุรี!J318+จันทบุรี!J318+ฉะเชิงเทรา!J318+ชลบุรี!J318+ชัยนาท!J318+ตราด!J318+นครนายก!J318+นครปฐม!J318+ปทุมธานี!J318+ประจวบคีรีขันธ์!J318+ปราจีนบุรี!J318+พระนครศรีอยุธยา!J318+เพชรบุรี!J318+ระยอง!J318+ราชบุรี!J318+ลพบุรี!J318+สระแก้ว!J318+สระบุรี!J318+สิงห์บุรี!J318+สุพรรณบุรี!J318+อ่างทอง!J318</f>
        <v>0</v>
      </c>
      <c r="K318" s="48">
        <f t="shared" ca="1" si="3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กาญจนบุรี!I319+จันทบุรี!I319+ฉะเชิงเทรา!I319+ชลบุรี!I319+ชัยนาท!I319+ตราด!I319+นครนายก!I319+นครปฐม!I319+ปทุมธานี!I319+ประจวบคีรีขันธ์!I319+ปราจีนบุรี!I319+พระนครศรีอยุธยา!I319+เพชรบุรี!I319+ระยอง!I319+ราชบุรี!I319+ลพบุรี!I319+สระแก้ว!I319+สระบุรี!I319+สิงห์บุรี!I319+สุพรรณบุรี!I319+อ่างทอง!I319</f>
        <v>531</v>
      </c>
      <c r="J319" s="67">
        <f>กาญจนบุรี!J319+จันทบุรี!J319+ฉะเชิงเทรา!J319+ชลบุรี!J319+ชัยนาท!J319+ตราด!J319+นครนายก!J319+นครปฐม!J319+ปทุมธานี!J319+ประจวบคีรีขันธ์!J319+ปราจีนบุรี!J319+พระนครศรีอยุธยา!J319+เพชรบุรี!J319+ระยอง!J319+ราชบุรี!J319+ลพบุรี!J319+สระแก้ว!J319+สระบุรี!J319+สิงห์บุรี!J319+สุพรรณบุรี!J319+อ่างทอง!J319</f>
        <v>0</v>
      </c>
      <c r="K319" s="48">
        <f t="shared" ca="1" si="3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กาญจนบุรี!I320+จันทบุรี!I320+ฉะเชิงเทรา!I320+ชลบุรี!I320+ชัยนาท!I320+ตราด!I320+นครนายก!I320+นครปฐม!I320+ปทุมธานี!I320+ประจวบคีรีขันธ์!I320+ปราจีนบุรี!I320+พระนครศรีอยุธยา!I320+เพชรบุรี!I320+ระยอง!I320+ราชบุรี!I320+ลพบุรี!I320+สระแก้ว!I320+สระบุรี!I320+สิงห์บุรี!I320+สุพรรณบุรี!I320+อ่างทอง!I320</f>
        <v>531</v>
      </c>
      <c r="J320" s="67">
        <f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48">
        <f t="shared" ca="1" si="3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กาญจนบุรี!I321+จันทบุรี!I321+ฉะเชิงเทรา!I321+ชลบุรี!I321+ชัยนาท!I321+ตราด!I321+นครนายก!I321+นครปฐม!I321+ปทุมธานี!I321+ประจวบคีรีขันธ์!I321+ปราจีนบุรี!I321+พระนครศรีอยุธยา!I321+เพชรบุรี!I321+ระยอง!I321+ราชบุรี!I321+ลพบุรี!I321+สระแก้ว!I321+สระบุรี!I321+สิงห์บุรี!I321+สุพรรณบุรี!I321+อ่างทอง!I321</f>
        <v>236</v>
      </c>
      <c r="J321" s="153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0</v>
      </c>
      <c r="K321" s="79">
        <f t="shared" ca="1" si="3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กาญจนบุรี!I322+จันทบุรี!I322+ฉะเชิงเทรา!I322+ชลบุรี!I322+ชัยนาท!I322+ตราด!I322+นครนายก!I322+นครปฐม!I322+ปทุมธานี!I322+ประจวบคีรีขันธ์!I322+ปราจีนบุรี!I322+พระนครศรีอยุธยา!I322+เพชรบุรี!I322+ระยอง!I322+ราชบุรี!I322+ลพบุรี!I322+สระแก้ว!I322+สระบุรี!I322+สิงห์บุรี!I322+สุพรรณบุรี!I322+อ่างทอง!I322</f>
        <v>708</v>
      </c>
      <c r="J322" s="153">
        <f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0</v>
      </c>
      <c r="K322" s="79">
        <f t="shared" ca="1" si="3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กาญจนบุรี!I323+จันทบุรี!I323+ฉะเชิงเทรา!I323+ชลบุรี!I323+ชัยนาท!I323+ตราด!I323+นครนายก!I323+นครปฐม!I323+ปทุมธานี!I323+ประจวบคีรีขันธ์!I323+ปราจีนบุรี!I323+พระนครศรีอยุธยา!I323+เพชรบุรี!I323+ระยอง!I323+ราชบุรี!I323+ลพบุรี!I323+สระแก้ว!I323+สระบุรี!I323+สิงห์บุรี!I323+สุพรรณบุรี!I323+อ่างทอง!I323</f>
        <v>236</v>
      </c>
      <c r="J323" s="67">
        <f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0</v>
      </c>
      <c r="K323" s="48">
        <f t="shared" ca="1" si="3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236</v>
      </c>
      <c r="J324" s="67">
        <f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10</v>
      </c>
      <c r="K324" s="48">
        <f t="shared" ca="1" si="33"/>
        <v>4.2372881355932206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กาญจนบุรี!I325+จันทบุรี!I325+ฉะเชิงเทรา!I325+ชลบุรี!I325+ชัยนาท!I325+ตราด!I325+นครนายก!I325+นครปฐม!I325+ปทุมธานี!I325+ประจวบคีรีขันธ์!I325+ปราจีนบุรี!I325+พระนครศรีอยุธยา!I325+เพชรบุรี!I325+ระยอง!I325+ราชบุรี!I325+ลพบุรี!I325+สระแก้ว!I325+สระบุรี!I325+สิงห์บุรี!I325+สุพรรณบุรี!I325+อ่างทอง!I325</f>
        <v>769</v>
      </c>
      <c r="J325" s="78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79">
        <f t="shared" ca="1" si="3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กาญจนบุรี!I326+จันทบุรี!I326+ฉะเชิงเทรา!I326+ชลบุรี!I326+ชัยนาท!I326+ตราด!I326+นครนายก!I326+นครปฐม!I326+ปทุมธานี!I326+ประจวบคีรีขันธ์!I326+ปราจีนบุรี!I326+พระนครศรีอยุธยา!I326+เพชรบุรี!I326+ระยอง!I326+ราชบุรี!I326+ลพบุรี!I326+สระแก้ว!I326+สระบุรี!I326+สิงห์บุรี!I326+สุพรรณบุรี!I326+อ่างทอง!I326</f>
        <v>238</v>
      </c>
      <c r="J326" s="67">
        <f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48">
        <f t="shared" ca="1" si="3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กาญจนบุรี!I327+จันทบุรี!I327+ฉะเชิงเทรา!I327+ชลบุรี!I327+ชัยนาท!I327+ตราด!I327+นครนายก!I327+นครปฐม!I327+ปทุมธานี!I327+ประจวบคีรีขันธ์!I327+ปราจีนบุรี!I327+พระนครศรีอยุธยา!I327+เพชรบุรี!I327+ระยอง!I327+ราชบุรี!I327+ลพบุรี!I327+สระแก้ว!I327+สระบุรี!I327+สิงห์บุรี!I327+สุพรรณบุรี!I327+อ่างทอง!I327</f>
        <v>531</v>
      </c>
      <c r="J327" s="67">
        <f>กาญจนบุรี!J327+จันทบุรี!J327+ฉะเชิงเทรา!J327+ชลบุรี!J327+ชัยนาท!J327+ตราด!J327+นครนายก!J327+นครปฐม!J327+ปทุมธานี!J327+ประจวบคีรีขันธ์!J327+ปราจีนบุรี!J327+พระนครศรีอยุธยา!J327+เพชรบุรี!J327+ระยอง!J327+ราชบุรี!J327+ลพบุรี!J327+สระแก้ว!J327+สระบุรี!J327+สิงห์บุรี!J327+สุพรรณบุรี!J327+อ่างทอง!J327</f>
        <v>0</v>
      </c>
      <c r="K327" s="48">
        <f t="shared" ca="1" si="3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f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f>กาญจนบุรี!J329+จันทบุรี!J329+ฉะเชิงเทรา!J329+ชลบุรี!J329+ชัยนาท!J329+ตราด!J329+นครนายก!J329+นครปฐม!J329+ปทุมธานี!J329+ประจวบคีรีขันธ์!J329+ปราจีนบุรี!J329+พระนครศรีอยุธยา!J329+เพชรบุรี!J329+ระยอง!J329+ราชบุรี!J329+ลพบุรี!J329+สระแก้ว!J329+สระบุรี!J329+สิงห์บุรี!J329+สุพรรณบุรี!J329+อ่างทอง!J329</f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กาญจนบุรี!I330+จันทบุรี!I330+ฉะเชิงเทรา!I330+ชลบุรี!I330+ชัยนาท!I330+ตราด!I330+นครนายก!I330+นครปฐม!I330+ปทุมธานี!I330+ประจวบคีรีขันธ์!I330+ปราจีนบุรี!I330+พระนครศรีอยุธยา!I330+เพชรบุรี!I330+ระยอง!I330+ราชบุรี!I330+ลพบุรี!I330+สระแก้ว!I330+สระบุรี!I330+สิงห์บุรี!I330+สุพรรณบุรี!I330+อ่างทอง!I330</f>
        <v>509</v>
      </c>
      <c r="J330" s="257">
        <f>กาญจนบุรี!J330+จันทบุรี!J330+ฉะเชิงเทรา!J330+ชลบุรี!J330+ชัยนาท!J330+ตราด!J330+นครนายก!J330+นครปฐม!J330+ปทุมธานี!J330+ประจวบคีรีขันธ์!J330+ปราจีนบุรี!J330+พระนครศรีอยุธยา!J330+เพชรบุรี!J330+ระยอง!J330+ราชบุรี!J330+ลพบุรี!J330+สระแก้ว!J330+สระบุรี!J330+สิงห์บุรี!J330+สุพรรณบุรี!J330+อ่างทอง!J330</f>
        <v>31</v>
      </c>
      <c r="K330" s="258">
        <f ca="1">IF(I330&gt;0,J330*100/I330,0)</f>
        <v>6.0903732809430258</v>
      </c>
      <c r="L330" s="259">
        <f ca="1"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2152900</v>
      </c>
      <c r="M330" s="259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168087</v>
      </c>
      <c r="N330" s="259">
        <f t="shared" ref="N330:N334" ca="1" si="34">+IF(L330&gt;0,M330*100/L330,0)</f>
        <v>7.8074689953086533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f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0</v>
      </c>
      <c r="M331" s="52">
        <f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0</v>
      </c>
      <c r="N331" s="52">
        <f t="shared" si="34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ca="1"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2152900</v>
      </c>
      <c r="M332" s="52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168087</v>
      </c>
      <c r="N332" s="52">
        <f t="shared" ca="1" si="34"/>
        <v>7.8074689953086533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0</v>
      </c>
      <c r="M333" s="52">
        <f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0</v>
      </c>
      <c r="N333" s="52">
        <f t="shared" ca="1" si="34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2152900</v>
      </c>
      <c r="M334" s="52">
        <f>กาญจนบุรี!M334+จันทบุรี!M334+ฉะเชิงเทรา!M334+ชลบุรี!M334+ชัยนาท!M334+ตราด!M334+นครนายก!M334+นครปฐม!M334+ปทุมธานี!M334+ประจวบคีรีขันธ์!M334+ปราจีนบุรี!M334+พระนครศรีอยุธยา!M334+เพชรบุรี!M334+ระยอง!M334+ราชบุรี!M334+ลพบุรี!M334+สระแก้ว!M334+สระบุรี!M334+สิงห์บุรี!M334+สุพรรณบุรี!M334+อ่างทอง!M334</f>
        <v>168087</v>
      </c>
      <c r="N334" s="52">
        <f t="shared" ca="1" si="34"/>
        <v>7.8074689953086533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f>กาญจนบุรี!M335+จันทบุรี!M335+ฉะเชิงเทรา!M335+ชลบุรี!M335+ชัยนาท!M335+ตราด!M335+นครนายก!M335+นครปฐม!M335+ปทุมธานี!M335+ประจวบคีรีขันธ์!M335+ปราจีนบุรี!M335+พระนครศรีอยุธยา!M335+เพชรบุรี!M335+ระยอง!M335+ราชบุรี!M335+ลพบุรี!M335+สระแก้ว!M335+สระบุรี!M335+สิงห์บุรี!M335+สุพรรณบุรี!M335+อ่างทอง!M335</f>
        <v>136637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f>กาญจนบุรี!M336+จันทบุรี!M336+ฉะเชิงเทรา!M336+ชลบุรี!M336+ชัยนาท!M336+ตราด!M336+นครนายก!M336+นครปฐม!M336+ปทุมธานี!M336+ประจวบคีรีขันธ์!M336+ปราจีนบุรี!M336+พระนครศรีอยุธยา!M336+เพชรบุรี!M336+ระยอง!M336+ราชบุรี!M336+ลพบุรี!M336+สระแก้ว!M336+สระบุรี!M336+สิงห์บุรี!M336+สุพรรณบุรี!M336+อ่างทอง!M336</f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f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f>กาญจนบุรี!M338+จันทบุรี!M338+ฉะเชิงเทรา!M338+ชลบุรี!M338+ชัยนาท!M338+ตราด!M338+นครนายก!M338+นครปฐม!M338+ปทุมธานี!M338+ประจวบคีรีขันธ์!M338+ปราจีนบุรี!M338+พระนครศรีอยุธยา!M338+เพชรบุรี!M338+ระยอง!M338+ราชบุรี!M338+ลพบุรี!M338+สระแก้ว!M338+สระบุรี!M338+สิงห์บุรี!M338+สุพรรณบุรี!M338+อ่างทอง!M338</f>
        <v>31450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f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4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f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12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f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12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f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8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509</v>
      </c>
      <c r="J344" s="78">
        <f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31</v>
      </c>
      <c r="K344" s="48">
        <f t="shared" ref="K344:K347" ca="1" si="35">IF(I344&gt;0,J344*100/I344,0)</f>
        <v>6.0903732809430258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399</v>
      </c>
      <c r="J345" s="67">
        <f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31</v>
      </c>
      <c r="K345" s="48">
        <f t="shared" ca="1" si="35"/>
        <v>7.7694235588972429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110</v>
      </c>
      <c r="J346" s="67">
        <f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0</v>
      </c>
      <c r="K346" s="48">
        <f t="shared" ca="1" si="35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กาญจนบุรี!I347+จันทบุรี!I347+ฉะเชิงเทรา!I347+ชลบุรี!I347+ชัยนาท!I347+ตราด!I347+นครนายก!I347+นครปฐม!I347+ปทุมธานี!I347+ประจวบคีรีขันธ์!I347+ปราจีนบุรี!I347+พระนครศรีอยุธยา!I347+เพชรบุรี!I347+ระยอง!I347+ราชบุรี!I347+ลพบุรี!I347+สระแก้ว!I347+สระบุรี!I347+สิงห์บุรี!I347+สุพรรณบุรี!I347+อ่างทอง!I347</f>
        <v>0</v>
      </c>
      <c r="J347" s="67">
        <f>กาญจนบุรี!J347+จันทบุรี!J347+ฉะเชิงเทรา!J347+ชลบุรี!J347+ชัยนาท!J347+ตราด!J347+นครนายก!J347+นครปฐม!J347+ปทุมธานี!J347+ประจวบคีรีขันธ์!J347+ปราจีนบุรี!J347+พระนครศรีอยุธยา!J347+เพชรบุรี!J347+ระยอง!J347+ราชบุรี!J347+ลพบุรี!J347+สระแก้ว!J347+สระบุรี!J347+สิงห์บุรี!J347+สุพรรณบุรี!J347+อ่างทอง!J347</f>
        <v>0</v>
      </c>
      <c r="K347" s="48">
        <f t="shared" ca="1" si="35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f>กาญจนบุรี!J348+จันทบุรี!J348+ฉะเชิงเทรา!J348+ชลบุรี!J348+ชัยนาท!J348+ตราด!J348+นครนายก!J348+นครปฐม!J348+ปทุมธานี!J348+ประจวบคีรีขันธ์!J348+ปราจีนบุรี!J348+พระนครศรีอยุธยา!J348+เพชรบุรี!J348+ระยอง!J348+ราชบุรี!J348+ลพบุรี!J348+สระแก้ว!J348+สระบุรี!J348+สิงห์บุรี!J348+สุพรรณบุรี!J348+อ่างทอง!J348</f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f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537650</v>
      </c>
      <c r="J350" s="226">
        <f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0</v>
      </c>
      <c r="K350" s="227">
        <f ca="1">IF(I350&gt;0,J350*100/I350,0)</f>
        <v>0</v>
      </c>
      <c r="L350" s="228">
        <f ca="1">กาญจนบุรี!L350+จันทบุรี!L350+ฉะเชิงเทรา!L350+ชลบุรี!L350+ชัยนาท!L350+ตราด!L350+นครนายก!L350+นครปฐม!L350+ปทุมธานี!L350+ประจวบคีรีขันธ์!L350+ปราจีนบุรี!L350+พระนครศรีอยุธยา!L350+เพชรบุรี!L350+ระยอง!L350+ราชบุรี!L350+ลพบุรี!L350+สระแก้ว!L350+สระบุรี!L350+สิงห์บุรี!L350+สุพรรณบุรี!L350+อ่างทอง!L350</f>
        <v>5513963</v>
      </c>
      <c r="M350" s="228">
        <f>กาญจนบุรี!M350+จันทบุรี!M350+ฉะเชิงเทรา!M350+ชลบุรี!M350+ชัยนาท!M350+ตราด!M350+นครนายก!M350+นครปฐม!M350+ปทุมธานี!M350+ประจวบคีรีขันธ์!M350+ปราจีนบุรี!M350+พระนครศรีอยุธยา!M350+เพชรบุรี!M350+ระยอง!M350+ราชบุรี!M350+ลพบุรี!M350+สระแก้ว!M350+สระบุรี!M350+สิงห์บุรี!M350+สุพรรณบุรี!M350+อ่างทอง!M350</f>
        <v>14358.73</v>
      </c>
      <c r="N350" s="228">
        <f t="shared" ref="N350:N354" ca="1" si="36">+IF(L350&gt;0,M350*100/L350,0)</f>
        <v>0.2604067165485151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f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52">
        <f>กาญจนบุรี!M351+จันทบุรี!M351+ฉะเชิงเทรา!M351+ชลบุรี!M351+ชัยนาท!M351+ตราด!M351+นครนายก!M351+นครปฐม!M351+ปทุมธานี!M351+ประจวบคีรีขันธ์!M351+ปราจีนบุรี!M351+พระนครศรีอยุธยา!M351+เพชรบุรี!M351+ระยอง!M351+ราชบุรี!M351+ลพบุรี!M351+สระแก้ว!M351+สระบุรี!M351+สิงห์บุรี!M351+สุพรรณบุรี!M351+อ่างทอง!M351</f>
        <v>0</v>
      </c>
      <c r="N351" s="52">
        <f t="shared" si="36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5513963</v>
      </c>
      <c r="M352" s="52">
        <f>กาญจนบุรี!M352+จันทบุรี!M352+ฉะเชิงเทรา!M352+ชลบุรี!M352+ชัยนาท!M352+ตราด!M352+นครนายก!M352+นครปฐม!M352+ปทุมธานี!M352+ประจวบคีรีขันธ์!M352+ปราจีนบุรี!M352+พระนครศรีอยุธยา!M352+เพชรบุรี!M352+ระยอง!M352+ราชบุรี!M352+ลพบุรี!M352+สระแก้ว!M352+สระบุรี!M352+สิงห์บุรี!M352+สุพรรณบุรี!M352+อ่างทอง!M352</f>
        <v>14358.73</v>
      </c>
      <c r="N352" s="52">
        <f t="shared" ca="1" si="36"/>
        <v>0.2604067165485151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52">
        <f>กาญจนบุรี!M353+จันทบุรี!M353+ฉะเชิงเทรา!M353+ชลบุรี!M353+ชัยนาท!M353+ตราด!M353+นครนายก!M353+นครปฐม!M353+ปทุมธานี!M353+ประจวบคีรีขันธ์!M353+ปราจีนบุรี!M353+พระนครศรีอยุธยา!M353+เพชรบุรี!M353+ระยอง!M353+ราชบุรี!M353+ลพบุรี!M353+สระแก้ว!M353+สระบุรี!M353+สิงห์บุรี!M353+สุพรรณบุรี!M353+อ่างทอง!M353</f>
        <v>0</v>
      </c>
      <c r="N353" s="52">
        <f t="shared" ca="1" si="36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5513963</v>
      </c>
      <c r="M354" s="52">
        <f>กาญจนบุรี!M354+จันทบุรี!M354+ฉะเชิงเทรา!M354+ชลบุรี!M354+ชัยนาท!M354+ตราด!M354+นครนายก!M354+นครปฐม!M354+ปทุมธานี!M354+ประจวบคีรีขันธ์!M354+ปราจีนบุรี!M354+พระนครศรีอยุธยา!M354+เพชรบุรี!M354+ระยอง!M354+ราชบุรี!M354+ลพบุรี!M354+สระแก้ว!M354+สระบุรี!M354+สิงห์บุรี!M354+สุพรรณบุรี!M354+อ่างทอง!M354</f>
        <v>14358.73</v>
      </c>
      <c r="N354" s="52">
        <f t="shared" ca="1" si="36"/>
        <v>0.2604067165485151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f>กาญจนบุรี!M355+จันทบุรี!M355+ฉะเชิงเทรา!M355+ชลบุรี!M355+ชัยนาท!M355+ตราด!M355+นครนายก!M355+นครปฐม!M355+ปทุมธานี!M355+ประจวบคีรีขันธ์!M355+ปราจีนบุรี!M355+พระนครศรีอยุธยา!M355+เพชรบุรี!M355+ระยอง!M355+ราชบุรี!M355+ลพบุรี!M355+สระแก้ว!M355+สระบุรี!M355+สิงห์บุรี!M355+สุพรรณบุรี!M355+อ่างทอง!M355</f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f>กาญจนบุรี!M356+จันทบุรี!M356+ฉะเชิงเทรา!M356+ชลบุรี!M356+ชัยนาท!M356+ตราด!M356+นครนายก!M356+นครปฐม!M356+ปทุมธานี!M356+ประจวบคีรีขันธ์!M356+ปราจีนบุรี!M356+พระนครศรีอยุธยา!M356+เพชรบุรี!M356+ระยอง!M356+ราชบุรี!M356+ลพบุรี!M356+สระแก้ว!M356+สระบุรี!M356+สิงห์บุรี!M356+สุพรรณบุรี!M356+อ่างทอง!M356</f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f>กาญจนบุรี!M357+จันทบุรี!M357+ฉะเชิงเทรา!M357+ชลบุรี!M357+ชัยนาท!M357+ตราด!M357+นครนายก!M357+นครปฐม!M357+ปทุมธานี!M357+ประจวบคีรีขันธ์!M357+ปราจีนบุรี!M357+พระนครศรีอยุธยา!M357+เพชรบุรี!M357+ระยอง!M357+ราชบุรี!M357+ลพบุรี!M357+สระแก้ว!M357+สระบุรี!M357+สิงห์บุรี!M357+สุพรรณบุรี!M357+อ่างทอง!M357</f>
        <v>10838.73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f>กาญจนบุรี!M358+จันทบุรี!M358+ฉะเชิงเทรา!M358+ชลบุรี!M358+ชัยนาท!M358+ตราด!M358+นครนายก!M358+นครปฐม!M358+ปทุมธานี!M358+ประจวบคีรีขันธ์!M358+ปราจีนบุรี!M358+พระนครศรีอยุธยา!M358+เพชรบุรี!M358+ระยอง!M358+ราชบุรี!M358+ลพบุรี!M358+สระแก้ว!M358+สระบุรี!M358+สิงห์บุรี!M358+สุพรรณบุรี!M358+อ่างทอง!M358</f>
        <v>3520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กาญจนบุรี!I359+จันทบุรี!I359+ฉะเชิงเทรา!I359+ชลบุรี!I359+ชัยนาท!I359+ตราด!I359+นครนายก!I359+นครปฐม!I359+ปทุมธานี!I359+ประจวบคีรีขันธ์!I359+ปราจีนบุรี!I359+พระนครศรีอยุธยา!I359+เพชรบุรี!I359+ระยอง!I359+ราชบุรี!I359+ลพบุรี!I359+สระแก้ว!I359+สระบุรี!I359+สิงห์บุรี!I359+สุพรรณบุรี!I359+อ่างทอง!I359</f>
        <v>537650</v>
      </c>
      <c r="J359" s="136">
        <f>กาญจนบุรี!J359+จันทบุรี!J359+ฉะเชิงเทรา!J359+ชลบุรี!J359+ชัยนาท!J359+ตราด!J359+นครนายก!J359+นครปฐม!J359+ปทุมธานี!J359+ประจวบคีรีขันธ์!J359+ปราจีนบุรี!J359+พระนครศรีอยุธยา!J359+เพชรบุรี!J359+ระยอง!J359+ราชบุรี!J359+ลพบุรี!J359+สระแก้ว!J359+สระบุรี!J359+สิงห์บุรี!J359+สุพรรณบุรี!J359+อ่างทอง!J359</f>
        <v>0</v>
      </c>
      <c r="K359" s="137">
        <f t="shared" ref="K359:K425" ca="1" si="37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กาญจนบุรี!I360+จันทบุรี!I360+ฉะเชิงเทรา!I360+ชลบุรี!I360+ชัยนาท!I360+ตราด!I360+นครนายก!I360+นครปฐม!I360+ปทุมธานี!I360+ประจวบคีรีขันธ์!I360+ปราจีนบุรี!I360+พระนครศรีอยุธยา!I360+เพชรบุรี!I360+ระยอง!I360+ราชบุรี!I360+ลพบุรี!I360+สระแก้ว!I360+สระบุรี!I360+สิงห์บุรี!I360+สุพรรณบุรี!I360+อ่างทอง!I360</f>
        <v>537650</v>
      </c>
      <c r="J360" s="265">
        <f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79">
        <f t="shared" ca="1" si="37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กาญจนบุรี!I361+จันทบุรี!I361+ฉะเชิงเทรา!I361+ชลบุรี!I361+ชัยนาท!I361+ตราด!I361+นครนายก!I361+นครปฐม!I361+ปทุมธานี!I361+ประจวบคีรีขันธ์!I361+ปราจีนบุรี!I361+พระนครศรีอยุธยา!I361+เพชรบุรี!I361+ระยอง!I361+ราชบุรี!I361+ลพบุรี!I361+สระแก้ว!I361+สระบุรี!I361+สิงห์บุรี!I361+สุพรรณบุรี!I361+อ่างทอง!I361</f>
        <v>45637</v>
      </c>
      <c r="J361" s="265">
        <f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0</v>
      </c>
      <c r="K361" s="79">
        <f t="shared" ca="1" si="37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f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0</v>
      </c>
      <c r="K362" s="48">
        <f t="shared" si="37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f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0</v>
      </c>
      <c r="K363" s="48">
        <f t="shared" si="37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f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48">
        <f t="shared" si="37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f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48">
        <f t="shared" si="37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f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48">
        <f t="shared" si="37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f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48">
        <f t="shared" si="37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537650</v>
      </c>
      <c r="J368" s="265">
        <f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0</v>
      </c>
      <c r="K368" s="79">
        <f t="shared" ca="1" si="37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45637</v>
      </c>
      <c r="J369" s="265">
        <f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79">
        <f t="shared" ca="1" si="37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f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0</v>
      </c>
      <c r="K370" s="48">
        <f t="shared" si="37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f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48">
        <f t="shared" si="37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f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0</v>
      </c>
      <c r="K372" s="48">
        <f t="shared" si="37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f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48">
        <f t="shared" si="37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f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48">
        <f t="shared" si="37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f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0</v>
      </c>
      <c r="K375" s="48">
        <f t="shared" si="37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537650</v>
      </c>
      <c r="J376" s="265">
        <f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0</v>
      </c>
      <c r="K376" s="79">
        <f t="shared" ca="1" si="37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45637</v>
      </c>
      <c r="J377" s="265">
        <f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0</v>
      </c>
      <c r="K377" s="79">
        <f t="shared" ca="1" si="37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f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0</v>
      </c>
      <c r="K378" s="48">
        <f t="shared" si="37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f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48">
        <f t="shared" si="37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f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0</v>
      </c>
      <c r="K380" s="48">
        <f t="shared" si="37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f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0</v>
      </c>
      <c r="K381" s="48">
        <f t="shared" si="37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>กาญจนบุรี!J382+จันทบุรี!J382+ฉะเชิงเทรา!J382+ชลบุรี!J382+ชัยนาท!J382+ตราด!J382+นครนายก!J382+นครปฐม!J382+ปทุมธานี!J382+ประจวบคีรีขันธ์!J382+ปราจีนบุรี!J382+พระนครศรีอยุธยา!J382+เพชรบุรี!J382+ระยอง!J382+ราชบุรี!J382+ลพบุรี!J382+สระแก้ว!J382+สระบุรี!J382+สิงห์บุรี!J382+สุพรรณบุรี!J382+อ่างทอง!J382</f>
        <v>0</v>
      </c>
      <c r="K382" s="48">
        <f t="shared" si="37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>กาญจนบุรี!J383+จันทบุรี!J383+ฉะเชิงเทรา!J383+ชลบุรี!J383+ชัยนาท!J383+ตราด!J383+นครนายก!J383+นครปฐม!J383+ปทุมธานี!J383+ประจวบคีรีขันธ์!J383+ปราจีนบุรี!J383+พระนครศรีอยุธยา!J383+เพชรบุรี!J383+ระยอง!J383+ราชบุรี!J383+ลพบุรี!J383+สระแก้ว!J383+สระบุรี!J383+สิงห์บุรี!J383+สุพรรณบุรี!J383+อ่างทอง!J383</f>
        <v>0</v>
      </c>
      <c r="K383" s="48">
        <f t="shared" si="37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f>กาญจนบุรี!J384+จันทบุรี!J384+ฉะเชิงเทรา!J384+ชลบุรี!J384+ชัยนาท!J384+ตราด!J384+นครนายก!J384+นครปฐม!J384+ปทุมธานี!J384+ประจวบคีรีขันธ์!J384+ปราจีนบุรี!J384+พระนครศรีอยุธยา!J384+เพชรบุรี!J384+ระยอง!J384+ราชบุรี!J384+ลพบุรี!J384+สระแก้ว!J384+สระบุรี!J384+สิงห์บุรี!J384+สุพรรณบุรี!J384+อ่างทอง!J384</f>
        <v>0</v>
      </c>
      <c r="K384" s="48">
        <f t="shared" si="37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f>กาญจนบุรี!J385+จันทบุรี!J385+ฉะเชิงเทรา!J385+ชลบุรี!J385+ชัยนาท!J385+ตราด!J385+นครนายก!J385+นครปฐม!J385+ปทุมธานี!J385+ประจวบคีรีขันธ์!J385+ปราจีนบุรี!J385+พระนครศรีอยุธยา!J385+เพชรบุรี!J385+ระยอง!J385+ราชบุรี!J385+ลพบุรี!J385+สระแก้ว!J385+สระบุรี!J385+สิงห์บุรี!J385+สุพรรณบุรี!J385+อ่างทอง!J385</f>
        <v>0</v>
      </c>
      <c r="K385" s="48">
        <f t="shared" si="37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f>กาญจนบุรี!J386+จันทบุรี!J386+ฉะเชิงเทรา!J386+ชลบุรี!J386+ชัยนาท!J386+ตราด!J386+นครนายก!J386+นครปฐม!J386+ปทุมธานี!J386+ประจวบคีรีขันธ์!J386+ปราจีนบุรี!J386+พระนครศรีอยุธยา!J386+เพชรบุรี!J386+ระยอง!J386+ราชบุรี!J386+ลพบุรี!J386+สระแก้ว!J386+สระบุรี!J386+สิงห์บุรี!J386+สุพรรณบุรี!J386+อ่างทอง!J386</f>
        <v>0</v>
      </c>
      <c r="K386" s="48">
        <f t="shared" si="37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f>กาญจนบุรี!J387+จันทบุรี!J387+ฉะเชิงเทรา!J387+ชลบุรี!J387+ชัยนาท!J387+ตราด!J387+นครนายก!J387+นครปฐม!J387+ปทุมธานี!J387+ประจวบคีรีขันธ์!J387+ปราจีนบุรี!J387+พระนครศรีอยุธยา!J387+เพชรบุรี!J387+ระยอง!J387+ราชบุรี!J387+ลพบุรี!J387+สระแก้ว!J387+สระบุรี!J387+สิงห์บุรี!J387+สุพรรณบุรี!J387+อ่างทอง!J387</f>
        <v>0</v>
      </c>
      <c r="K387" s="48">
        <f t="shared" si="37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f>กาญจนบุรี!J388+จันทบุรี!J388+ฉะเชิงเทรา!J388+ชลบุรี!J388+ชัยนาท!J388+ตราด!J388+นครนายก!J388+นครปฐม!J388+ปทุมธานี!J388+ประจวบคีรีขันธ์!J388+ปราจีนบุรี!J388+พระนครศรีอยุธยา!J388+เพชรบุรี!J388+ระยอง!J388+ราชบุรี!J388+ลพบุรี!J388+สระแก้ว!J388+สระบุรี!J388+สิงห์บุรี!J388+สุพรรณบุรี!J388+อ่างทอง!J388</f>
        <v>0</v>
      </c>
      <c r="K388" s="48">
        <f t="shared" si="37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47">
        <v>0</v>
      </c>
      <c r="J389" s="67">
        <f>กาญจนบุรี!J389+จันทบุรี!J389+ฉะเชิงเทรา!J389+ชลบุรี!J389+ชัยนาท!J389+ตราด!J389+นครนายก!J389+นครปฐม!J389+ปทุมธานี!J389+ประจวบคีรีขันธ์!J389+ปราจีนบุรี!J389+พระนครศรีอยุธยา!J389+เพชรบุรี!J389+ระยอง!J389+ราชบุรี!J389+ลพบุรี!J389+สระแก้ว!J389+สระบุรี!J389+สิงห์บุรี!J389+สุพรรณบุรี!J389+อ่างทอง!J389</f>
        <v>0</v>
      </c>
      <c r="K389" s="48">
        <f t="shared" si="37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กาญจนบุรี!I390+จันทบุรี!I390+ฉะเชิงเทรา!I390+ชลบุรี!I390+ชัยนาท!I390+ตราด!I390+นครนายก!I390+นครปฐม!I390+ปทุมธานี!I390+ประจวบคีรีขันธ์!I390+ปราจีนบุรี!I390+พระนครศรีอยุธยา!I390+เพชรบุรี!I390+ระยอง!I390+ราชบุรี!I390+ลพบุรี!I390+สระแก้ว!I390+สระบุรี!I390+สิงห์บุรี!I390+สุพรรณบุรี!I390+อ่างทอง!I390</f>
        <v>59971</v>
      </c>
      <c r="J390" s="136">
        <f>กาญจนบุรี!J390+จันทบุรี!J390+ฉะเชิงเทรา!J390+ชลบุรี!J390+ชัยนาท!J390+ตราด!J390+นครนายก!J390+นครปฐม!J390+ปทุมธานี!J390+ประจวบคีรีขันธ์!J390+ปราจีนบุรี!J390+พระนครศรีอยุธยา!J390+เพชรบุรี!J390+ระยอง!J390+ราชบุรี!J390+ลพบุรี!J390+สระแก้ว!J390+สระบุรี!J390+สิงห์บุรี!J390+สุพรรณบุรี!J390+อ่างทอง!J390</f>
        <v>201</v>
      </c>
      <c r="K390" s="137">
        <f t="shared" ca="1" si="37"/>
        <v>0.33516199496423271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กาญจนบุรี!I391+จันทบุรี!I391+ฉะเชิงเทรา!I391+ชลบุรี!I391+ชัยนาท!I391+ตราด!I391+นครนายก!I391+นครปฐม!I391+ปทุมธานี!I391+ประจวบคีรีขันธ์!I391+ปราจีนบุรี!I391+พระนครศรีอยุธยา!I391+เพชรบุรี!I391+ระยอง!I391+ราชบุรี!I391+ลพบุรี!I391+สระแก้ว!I391+สระบุรี!I391+สิงห์บุรี!I391+สุพรรณบุรี!I391+อ่างทอง!I391</f>
        <v>59971</v>
      </c>
      <c r="J391" s="265">
        <f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201</v>
      </c>
      <c r="K391" s="284">
        <f t="shared" ca="1" si="37"/>
        <v>0.33516199496423271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กาญจนบุรี!I392+จันทบุรี!I392+ฉะเชิงเทรา!I392+ชลบุรี!I392+ชัยนาท!I392+ตราด!I392+นครนายก!I392+นครปฐม!I392+ปทุมธานี!I392+ประจวบคีรีขันธ์!I392+ปราจีนบุรี!I392+พระนครศรีอยุธยา!I392+เพชรบุรี!I392+ระยอง!I392+ราชบุรี!I392+ลพบุรี!I392+สระแก้ว!I392+สระบุรี!I392+สิงห์บุรี!I392+สุพรรณบุรี!I392+อ่างทอง!I392</f>
        <v>3650</v>
      </c>
      <c r="J392" s="265">
        <f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12</v>
      </c>
      <c r="K392" s="284">
        <f t="shared" ca="1" si="37"/>
        <v>0.32876712328767121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201</v>
      </c>
      <c r="K393" s="232">
        <f t="shared" si="37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12</v>
      </c>
      <c r="K394" s="232">
        <f t="shared" si="37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f>กาญจนบุรี!J395+จันทบุรี!J395+ฉะเชิงเทรา!J395+ชลบุรี!J395+ชัยนาท!J395+ตราด!J395+นครนายก!J395+นครปฐม!J395+ปทุมธานี!J395+ประจวบคีรีขันธ์!J395+ปราจีนบุรี!J395+พระนครศรีอยุธยา!J395+เพชรบุรี!J395+ระยอง!J395+ราชบุรี!J395+ลพบุรี!J395+สระแก้ว!J395+สระบุรี!J395+สิงห์บุรี!J395+สุพรรณบุรี!J395+อ่างทอง!J395</f>
        <v>201</v>
      </c>
      <c r="K395" s="232">
        <f t="shared" si="37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f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12</v>
      </c>
      <c r="K396" s="232">
        <f t="shared" si="37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f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0</v>
      </c>
      <c r="K397" s="232">
        <f t="shared" si="37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f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0</v>
      </c>
      <c r="K398" s="232">
        <f t="shared" si="37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f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0</v>
      </c>
      <c r="K399" s="232">
        <f t="shared" si="37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f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232">
        <f t="shared" si="37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285"/>
      <c r="G401" s="266"/>
      <c r="H401" s="267" t="s">
        <v>103</v>
      </c>
      <c r="I401" s="47">
        <v>0</v>
      </c>
      <c r="J401" s="47">
        <f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0</v>
      </c>
      <c r="K401" s="232">
        <f t="shared" si="37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0</v>
      </c>
      <c r="K402" s="232">
        <f t="shared" si="37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f>กาญจนบุรี!J403+จันทบุรี!J403+ฉะเชิงเทรา!J403+ชลบุรี!J403+ชัยนาท!J403+ตราด!J403+นครนายก!J403+นครปฐม!J403+ปทุมธานี!J403+ประจวบคีรีขันธ์!J403+ปราจีนบุรี!J403+พระนครศรีอยุธยา!J403+เพชรบุรี!J403+ระยอง!J403+ราชบุรี!J403+ลพบุรี!J403+สระแก้ว!J403+สระบุรี!J403+สิงห์บุรี!J403+สุพรรณบุรี!J403+อ่างทอง!J403</f>
        <v>0</v>
      </c>
      <c r="K403" s="232">
        <f t="shared" si="37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f>กาญจนบุรี!J404+จันทบุรี!J404+ฉะเชิงเทรา!J404+ชลบุรี!J404+ชัยนาท!J404+ตราด!J404+นครนายก!J404+นครปฐม!J404+ปทุมธานี!J404+ประจวบคีรีขันธ์!J404+ปราจีนบุรี!J404+พระนครศรีอยุธยา!J404+เพชรบุรี!J404+ระยอง!J404+ราชบุรี!J404+ลพบุรี!J404+สระแก้ว!J404+สระบุรี!J404+สิงห์บุรี!J404+สุพรรณบุรี!J404+อ่างทอง!J404</f>
        <v>0</v>
      </c>
      <c r="K404" s="232">
        <f t="shared" si="37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f>กาญจนบุรี!J405+จันทบุรี!J405+ฉะเชิงเทรา!J405+ชลบุรี!J405+ชัยนาท!J405+ตราด!J405+นครนายก!J405+นครปฐม!J405+ปทุมธานี!J405+ประจวบคีรีขันธ์!J405+ปราจีนบุรี!J405+พระนครศรีอยุธยา!J405+เพชรบุรี!J405+ระยอง!J405+ราชบุรี!J405+ลพบุรี!J405+สระแก้ว!J405+สระบุรี!J405+สิงห์บุรี!J405+สุพรรณบุรี!J405+อ่างทอง!J405</f>
        <v>0</v>
      </c>
      <c r="K405" s="232">
        <f t="shared" si="37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f>กาญจนบุรี!J406+จันทบุรี!J406+ฉะเชิงเทรา!J406+ชลบุรี!J406+ชัยนาท!J406+ตราด!J406+นครนายก!J406+นครปฐม!J406+ปทุมธานี!J406+ประจวบคีรีขันธ์!J406+ปราจีนบุรี!J406+พระนครศรีอยุธยา!J406+เพชรบุรี!J406+ระยอง!J406+ราชบุรี!J406+ลพบุรี!J406+สระแก้ว!J406+สระบุรี!J406+สิงห์บุรี!J406+สุพรรณบุรี!J406+อ่างทอง!J406</f>
        <v>0</v>
      </c>
      <c r="K406" s="232">
        <f t="shared" si="37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f>กาญจนบุรี!J407+จันทบุรี!J407+ฉะเชิงเทรา!J407+ชลบุรี!J407+ชัยนาท!J407+ตราด!J407+นครนายก!J407+นครปฐม!J407+ปทุมธานี!J407+ประจวบคีรีขันธ์!J407+ปราจีนบุรี!J407+พระนครศรีอยุธยา!J407+เพชรบุรี!J407+ระยอง!J407+ราชบุรี!J407+ลพบุรี!J407+สระแก้ว!J407+สระบุรี!J407+สิงห์บุรี!J407+สุพรรณบุรี!J407+อ่างทอง!J407</f>
        <v>0</v>
      </c>
      <c r="K407" s="232">
        <f t="shared" si="37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f>กาญจนบุรี!J408+จันทบุรี!J408+ฉะเชิงเทรา!J408+ชลบุรี!J408+ชัยนาท!J408+ตราด!J408+นครนายก!J408+นครปฐม!J408+ปทุมธานี!J408+ประจวบคีรีขันธ์!J408+ปราจีนบุรี!J408+พระนครศรีอยุธยา!J408+เพชรบุรี!J408+ระยอง!J408+ราชบุรี!J408+ลพบุรี!J408+สระแก้ว!J408+สระบุรี!J408+สิงห์บุรี!J408+สุพรรณบุรี!J408+อ่างทอง!J408</f>
        <v>0</v>
      </c>
      <c r="K408" s="232">
        <f t="shared" si="37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กาญจนบุรี!I409+จันทบุรี!I409+ฉะเชิงเทรา!I409+ชลบุรี!I409+ชัยนาท!I409+ตราด!I409+นครนายก!I409+นครปฐม!I409+ปทุมธานี!I409+ประจวบคีรีขันธ์!I409+ปราจีนบุรี!I409+พระนครศรีอยุธยา!I409+เพชรบุรี!I409+ระยอง!I409+ราชบุรี!I409+ลพบุรี!I409+สระแก้ว!I409+สระบุรี!I409+สิงห์บุรี!I409+สุพรรณบุรี!I409+อ่างทอง!I409</f>
        <v>0</v>
      </c>
      <c r="J409" s="136">
        <f>กาญจนบุรี!J409+จันทบุรี!J409+ฉะเชิงเทรา!J409+ชลบุรี!J409+ชัยนาท!J409+ตราด!J409+นครนายก!J409+นครปฐม!J409+ปทุมธานี!J409+ประจวบคีรีขันธ์!J409+ปราจีนบุรี!J409+พระนครศรีอยุธยา!J409+เพชรบุรี!J409+ระยอง!J409+ราชบุรี!J409+ลพบุรี!J409+สระแก้ว!J409+สระบุรี!J409+สิงห์บุรี!J409+สุพรรณบุรี!J409+อ่างทอง!J409</f>
        <v>0</v>
      </c>
      <c r="K409" s="137">
        <f t="shared" ca="1" si="37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กาญจนบุรี!I410+จันทบุรี!I410+ฉะเชิงเทรา!I410+ชลบุรี!I410+ชัยนาท!I410+ตราด!I410+นครนายก!I410+นครปฐม!I410+ปทุมธานี!I410+ประจวบคีรีขันธ์!I410+ปราจีนบุรี!I410+พระนครศรีอยุธยา!I410+เพชรบุรี!I410+ระยอง!I410+ราชบุรี!I410+ลพบุรี!I410+สระแก้ว!I410+สระบุรี!I410+สิงห์บุรี!I410+สุพรรณบุรี!I410+อ่างทอง!I410</f>
        <v>0</v>
      </c>
      <c r="J410" s="149">
        <f>กาญจนบุรี!J410+จันทบุรี!J410+ฉะเชิงเทรา!J410+ชลบุรี!J410+ชัยนาท!J410+ตราด!J410+นครนายก!J410+นครปฐม!J410+ปทุมธานี!J410+ประจวบคีรีขันธ์!J410+ปราจีนบุรี!J410+พระนครศรีอยุธยา!J410+เพชรบุรี!J410+ระยอง!J410+ราชบุรี!J410+ลพบุรี!J410+สระแก้ว!J410+สระบุรี!J410+สิงห์บุรี!J410+สุพรรณบุรี!J410+อ่างทอง!J410</f>
        <v>0</v>
      </c>
      <c r="K410" s="146">
        <f t="shared" ca="1" si="37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กาญจนบุรี!I411+จันทบุรี!I411+ฉะเชิงเทรา!I411+ชลบุรี!I411+ชัยนาท!I411+ตราด!I411+นครนายก!I411+นครปฐม!I411+ปทุมธานี!I411+ประจวบคีรีขันธ์!I411+ปราจีนบุรี!I411+พระนครศรีอยุธยา!I411+เพชรบุรี!I411+ระยอง!I411+ราชบุรี!I411+ลพบุรี!I411+สระแก้ว!I411+สระบุรี!I411+สิงห์บุรี!I411+สุพรรณบุรี!I411+อ่างทอง!I411</f>
        <v>0</v>
      </c>
      <c r="J411" s="149">
        <f>กาญจนบุรี!J411+จันทบุรี!J411+ฉะเชิงเทรา!J411+ชลบุรี!J411+ชัยนาท!J411+ตราด!J411+นครนายก!J411+นครปฐม!J411+ปทุมธานี!J411+ประจวบคีรีขันธ์!J411+ปราจีนบุรี!J411+พระนครศรีอยุธยา!J411+เพชรบุรี!J411+ระยอง!J411+ราชบุรี!J411+ลพบุรี!J411+สระแก้ว!J411+สระบุรี!J411+สิงห์บุรี!J411+สุพรรณบุรี!J411+อ่างทอง!J411</f>
        <v>0</v>
      </c>
      <c r="K411" s="146">
        <f t="shared" ca="1" si="37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7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48">
        <f t="shared" si="37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7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0</v>
      </c>
      <c r="K413" s="48">
        <f t="shared" si="37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7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0</v>
      </c>
      <c r="K414" s="48">
        <f t="shared" si="37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7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0</v>
      </c>
      <c r="K415" s="48">
        <f t="shared" si="37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7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0</v>
      </c>
      <c r="K416" s="48">
        <f t="shared" si="37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7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0</v>
      </c>
      <c r="K417" s="48">
        <f t="shared" si="37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0</v>
      </c>
      <c r="J418" s="149">
        <f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0</v>
      </c>
      <c r="K418" s="146">
        <f t="shared" ca="1" si="37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0</v>
      </c>
      <c r="J419" s="149">
        <f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0</v>
      </c>
      <c r="K419" s="146">
        <f t="shared" ca="1" si="37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f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0</v>
      </c>
      <c r="K420" s="48">
        <f t="shared" si="37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f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0</v>
      </c>
      <c r="K421" s="48">
        <f t="shared" si="37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f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0</v>
      </c>
      <c r="K422" s="48">
        <f t="shared" si="37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f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0</v>
      </c>
      <c r="K423" s="48">
        <f t="shared" si="37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f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0</v>
      </c>
      <c r="K424" s="48">
        <f t="shared" si="37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299">
        <v>0</v>
      </c>
      <c r="J425" s="300">
        <f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0</v>
      </c>
      <c r="K425" s="301">
        <f t="shared" si="37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303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441</v>
      </c>
      <c r="J426" s="303">
        <f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140</v>
      </c>
      <c r="K426" s="304">
        <f ca="1">IF(I426&gt;0,J426*100/I426,0)</f>
        <v>31.746031746031747</v>
      </c>
      <c r="L426" s="259">
        <f ca="1">กาญจนบุรี!L426+จันทบุรี!L426+ฉะเชิงเทรา!L426+ชลบุรี!L426+ชัยนาท!L426+ตราด!L426+นครนายก!L426+นครปฐม!L426+ปทุมธานี!L426+ประจวบคีรีขันธ์!L426+ปราจีนบุรี!L426+พระนครศรีอยุธยา!L426+เพชรบุรี!L426+ระยอง!L426+ราชบุรี!L426+ลพบุรี!L426+สระแก้ว!L426+สระบุรี!L426+สิงห์บุรี!L426+สุพรรณบุรี!L426+อ่างทอง!L426</f>
        <v>703290</v>
      </c>
      <c r="M426" s="259">
        <f>กาญจนบุรี!M426+จันทบุรี!M426+ฉะเชิงเทรา!M426+ชลบุรี!M426+ชัยนาท!M426+ตราด!M426+นครนายก!M426+นครปฐม!M426+ปทุมธานี!M426+ประจวบคีรีขันธ์!M426+ปราจีนบุรี!M426+พระนครศรีอยุธยา!M426+เพชรบุรี!M426+ระยอง!M426+ราชบุรี!M426+ลพบุรี!M426+สระแก้ว!M426+สระบุรี!M426+สิงห์บุรี!M426+สุพรรณบุรี!M426+อ่างทอง!M426</f>
        <v>175323.99</v>
      </c>
      <c r="N426" s="259">
        <f t="shared" ref="N426:N430" ca="1" si="38">+IF(L426&gt;0,M426*100/L426,0)</f>
        <v>24.929117433775541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f>กาญจนบุรี!L427+จันทบุรี!L427+ฉะเชิงเทรา!L427+ชลบุรี!L427+ชัยนาท!L427+ตราด!L427+นครนายก!L427+นครปฐม!L427+ปทุมธานี!L427+ประจวบคีรีขันธ์!L427+ปราจีนบุรี!L427+พระนครศรีอยุธยา!L427+เพชรบุรี!L427+ระยอง!L427+ราชบุรี!L427+ลพบุรี!L427+สระแก้ว!L427+สระบุรี!L427+สิงห์บุรี!L427+สุพรรณบุรี!L427+อ่างทอง!L427</f>
        <v>0</v>
      </c>
      <c r="M427" s="52">
        <f>กาญจนบุรี!M427+จันทบุรี!M427+ฉะเชิงเทรา!M427+ชลบุรี!M427+ชัยนาท!M427+ตราด!M427+นครนายก!M427+นครปฐม!M427+ปทุมธานี!M427+ประจวบคีรีขันธ์!M427+ปราจีนบุรี!M427+พระนครศรีอยุธยา!M427+เพชรบุรี!M427+ระยอง!M427+ราชบุรี!M427+ลพบุรี!M427+สระแก้ว!M427+สระบุรี!M427+สิงห์บุรี!M427+สุพรรณบุรี!M427+อ่างทอง!M427</f>
        <v>0</v>
      </c>
      <c r="N427" s="52">
        <f t="shared" si="38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ca="1">กาญจนบุรี!L428+จันทบุรี!L428+ฉะเชิงเทรา!L428+ชลบุรี!L428+ชัยนาท!L428+ตราด!L428+นครนายก!L428+นครปฐม!L428+ปทุมธานี!L428+ประจวบคีรีขันธ์!L428+ปราจีนบุรี!L428+พระนครศรีอยุธยา!L428+เพชรบุรี!L428+ระยอง!L428+ราชบุรี!L428+ลพบุรี!L428+สระแก้ว!L428+สระบุรี!L428+สิงห์บุรี!L428+สุพรรณบุรี!L428+อ่างทอง!L428</f>
        <v>703290</v>
      </c>
      <c r="M428" s="52">
        <f>กาญจนบุรี!M428+จันทบุรี!M428+ฉะเชิงเทรา!M428+ชลบุรี!M428+ชัยนาท!M428+ตราด!M428+นครนายก!M428+นครปฐม!M428+ปทุมธานี!M428+ประจวบคีรีขันธ์!M428+ปราจีนบุรี!M428+พระนครศรีอยุธยา!M428+เพชรบุรี!M428+ระยอง!M428+ราชบุรี!M428+ลพบุรี!M428+สระแก้ว!M428+สระบุรี!M428+สิงห์บุรี!M428+สุพรรณบุรี!M428+อ่างทอง!M428</f>
        <v>175323.99</v>
      </c>
      <c r="N428" s="52">
        <f t="shared" ca="1" si="38"/>
        <v>24.929117433775541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กาญจนบุรี!L429+จันทบุรี!L429+ฉะเชิงเทรา!L429+ชลบุรี!L429+ชัยนาท!L429+ตราด!L429+นครนายก!L429+นครปฐม!L429+ปทุมธานี!L429+ประจวบคีรีขันธ์!L429+ปราจีนบุรี!L429+พระนครศรีอยุธยา!L429+เพชรบุรี!L429+ระยอง!L429+ราชบุรี!L429+ลพบุรี!L429+สระแก้ว!L429+สระบุรี!L429+สิงห์บุรี!L429+สุพรรณบุรี!L429+อ่างทอง!L429</f>
        <v>0</v>
      </c>
      <c r="M429" s="52">
        <f>กาญจนบุรี!M429+จันทบุรี!M429+ฉะเชิงเทรา!M429+ชลบุรี!M429+ชัยนาท!M429+ตราด!M429+นครนายก!M429+นครปฐม!M429+ปทุมธานี!M429+ประจวบคีรีขันธ์!M429+ปราจีนบุรี!M429+พระนครศรีอยุธยา!M429+เพชรบุรี!M429+ระยอง!M429+ราชบุรี!M429+ลพบุรี!M429+สระแก้ว!M429+สระบุรี!M429+สิงห์บุรี!M429+สุพรรณบุรี!M429+อ่างทอง!M429</f>
        <v>0</v>
      </c>
      <c r="N429" s="52">
        <f t="shared" ca="1" si="38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กาญจนบุรี!L430+จันทบุรี!L430+ฉะเชิงเทรา!L430+ชลบุรี!L430+ชัยนาท!L430+ตราด!L430+นครนายก!L430+นครปฐม!L430+ปทุมธานี!L430+ประจวบคีรีขันธ์!L430+ปราจีนบุรี!L430+พระนครศรีอยุธยา!L430+เพชรบุรี!L430+ระยอง!L430+ราชบุรี!L430+ลพบุรี!L430+สระแก้ว!L430+สระบุรี!L430+สิงห์บุรี!L430+สุพรรณบุรี!L430+อ่างทอง!L430</f>
        <v>703290</v>
      </c>
      <c r="M430" s="52">
        <f>กาญจนบุรี!M430+จันทบุรี!M430+ฉะเชิงเทรา!M430+ชลบุรี!M430+ชัยนาท!M430+ตราด!M430+นครนายก!M430+นครปฐม!M430+ปทุมธานี!M430+ประจวบคีรีขันธ์!M430+ปราจีนบุรี!M430+พระนครศรีอยุธยา!M430+เพชรบุรี!M430+ระยอง!M430+ราชบุรี!M430+ลพบุรี!M430+สระแก้ว!M430+สระบุรี!M430+สิงห์บุรี!M430+สุพรรณบุรี!M430+อ่างทอง!M430</f>
        <v>175323.99</v>
      </c>
      <c r="N430" s="52">
        <f t="shared" ca="1" si="38"/>
        <v>24.929117433775541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f>กาญจนบุรี!M431+จันทบุรี!M431+ฉะเชิงเทรา!M431+ชลบุรี!M431+ชัยนาท!M431+ตราด!M431+นครนายก!M431+นครปฐม!M431+ปทุมธานี!M431+ประจวบคีรีขันธ์!M431+ปราจีนบุรี!M431+พระนครศรีอยุธยา!M431+เพชรบุรี!M431+ระยอง!M431+ราชบุรี!M431+ลพบุรี!M431+สระแก้ว!M431+สระบุรี!M431+สิงห์บุรี!M431+สุพรรณบุรี!M431+อ่างทอง!M431</f>
        <v>131170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f>กาญจนบุรี!M432+จันทบุรี!M432+ฉะเชิงเทรา!M432+ชลบุรี!M432+ชัยนาท!M432+ตราด!M432+นครนายก!M432+นครปฐม!M432+ปทุมธานี!M432+ประจวบคีรีขันธ์!M432+ปราจีนบุรี!M432+พระนครศรีอยุธยา!M432+เพชรบุรี!M432+ระยอง!M432+ราชบุรี!M432+ลพบุรี!M432+สระแก้ว!M432+สระบุรี!M432+สิงห์บุรี!M432+สุพรรณบุรี!M432+อ่างทอง!M432</f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f>กาญจนบุรี!M433+จันทบุรี!M433+ฉะเชิงเทรา!M433+ชลบุรี!M433+ชัยนาท!M433+ตราด!M433+นครนายก!M433+นครปฐม!M433+ปทุมธานี!M433+ประจวบคีรีขันธ์!M433+ปราจีนบุรี!M433+พระนครศรีอยุธยา!M433+เพชรบุรี!M433+ระยอง!M433+ราชบุรี!M433+ลพบุรี!M433+สระแก้ว!M433+สระบุรี!M433+สิงห์บุรี!M433+สุพรรณบุรี!M433+อ่างทอง!M433</f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f>กาญจนบุรี!M434+จันทบุรี!M434+ฉะเชิงเทรา!M434+ชลบุรี!M434+ชัยนาท!M434+ตราด!M434+นครนายก!M434+นครปฐม!M434+ปทุมธานี!M434+ประจวบคีรีขันธ์!M434+ปราจีนบุรี!M434+พระนครศรีอยุธยา!M434+เพชรบุรี!M434+ระยอง!M434+ราชบุรี!M434+ลพบุรี!M434+สระแก้ว!M434+สระบุรี!M434+สิงห์บุรี!M434+สุพรรณบุรี!M434+อ่างทอง!M434</f>
        <v>44153.990000000005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f>กาญจนบุรี!J436+จันทบุรี!J436+ฉะเชิงเทรา!J436+ชลบุรี!J436+ชัยนาท!J436+ตราด!J436+นครนายก!J436+นครปฐม!J436+ปทุมธานี!J436+ประจวบคีรีขันธ์!J436+ปราจีนบุรี!J436+พระนครศรีอยุธยา!J436+เพชรบุรี!J436+ระยอง!J436+ราชบุรี!J436+ลพบุรี!J436+สระแก้ว!J436+สระบุรี!J436+สิงห์บุรี!J436+สุพรรณบุรี!J436+อ่างทอง!J436</f>
        <v>2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f>กาญจนบุรี!J437+จันทบุรี!J437+ฉะเชิงเทรา!J437+ชลบุรี!J437+ชัยนาท!J437+ตราด!J437+นครนายก!J437+นครปฐม!J437+ปทุมธานี!J437+ประจวบคีรีขันธ์!J437+ปราจีนบุรี!J437+พระนครศรีอยุธยา!J437+เพชรบุรี!J437+ระยอง!J437+ราชบุรี!J437+ลพบุรี!J437+สระแก้ว!J437+สระบุรี!J437+สิงห์บุรี!J437+สุพรรณบุรี!J437+อ่างทอง!J437</f>
        <v>16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f>กาญจนบุรี!J438+จันทบุรี!J438+ฉะเชิงเทรา!J438+ชลบุรี!J438+ชัยนาท!J438+ตราด!J438+นครนายก!J438+นครปฐม!J438+ปทุมธานี!J438+ประจวบคีรีขันธ์!J438+ปราจีนบุรี!J438+พระนครศรีอยุธยา!J438+เพชรบุรี!J438+ระยอง!J438+ราชบุรี!J438+ลพบุรี!J438+สระแก้ว!J438+สระบุรี!J438+สิงห์บุรี!J438+สุพรรณบุรี!J438+อ่างทอง!J438</f>
        <v>13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f>กาญจนบุรี!J439+จันทบุรี!J439+ฉะเชิงเทรา!J439+ชลบุรี!J439+ชัยนาท!J439+ตราด!J439+นครนายก!J439+นครปฐม!J439+ปทุมธานี!J439+ประจวบคีรีขันธ์!J439+ปราจีนบุรี!J439+พระนครศรีอยุธยา!J439+เพชรบุรี!J439+ระยอง!J439+ราชบุรี!J439+ลพบุรี!J439+สระแก้ว!J439+สระบุรี!J439+สิงห์บุรี!J439+สุพรรณบุรี!J439+อ่างทอง!J439</f>
        <v>10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กาญจนบุรี!I440+จันทบุรี!I440+ฉะเชิงเทรา!I440+ชลบุรี!I440+ชัยนาท!I440+ตราด!I440+นครนายก!I440+นครปฐม!I440+ปทุมธานี!I440+ประจวบคีรีขันธ์!I440+ปราจีนบุรี!I440+พระนครศรีอยุธยา!I440+เพชรบุรี!I440+ระยอง!I440+ราชบุรี!I440+ลพบุรี!I440+สระแก้ว!I440+สระบุรี!I440+สิงห์บุรี!I440+สุพรรณบุรี!I440+อ่างทอง!I440</f>
        <v>441</v>
      </c>
      <c r="J440" s="67">
        <f>กาญจนบุรี!J440+จันทบุรี!J440+ฉะเชิงเทรา!J440+ชลบุรี!J440+ชัยนาท!J440+ตราด!J440+นครนายก!J440+นครปฐม!J440+ปทุมธานี!J440+ประจวบคีรีขันธ์!J440+ปราจีนบุรี!J440+พระนครศรีอยุธยา!J440+เพชรบุรี!J440+ระยอง!J440+ราชบุรี!J440+ลพบุรี!J440+สระแก้ว!J440+สระบุรี!J440+สิงห์บุรี!J440+สุพรรณบุรี!J440+อ่างทอง!J440</f>
        <v>140</v>
      </c>
      <c r="K440" s="48">
        <f t="shared" ref="K440:K441" ca="1" si="39">IF(I440&gt;0,J440*100/I440,0)</f>
        <v>31.746031746031747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กาญจนบุรี!I441+จันทบุรี!I441+ฉะเชิงเทรา!I441+ชลบุรี!I441+ชัยนาท!I441+ตราด!I441+นครนายก!I441+นครปฐม!I441+ปทุมธานี!I441+ประจวบคีรีขันธ์!I441+ปราจีนบุรี!I441+พระนครศรีอยุธยา!I441+เพชรบุรี!I441+ระยอง!I441+ราชบุรี!I441+ลพบุรี!I441+สระแก้ว!I441+สระบุรี!I441+สิงห์บุรี!I441+สุพรรณบุรี!I441+อ่างทอง!I441</f>
        <v>441</v>
      </c>
      <c r="J441" s="67">
        <f>กาญจนบุรี!J441+จันทบุรี!J441+ฉะเชิงเทรา!J441+ชลบุรี!J441+ชัยนาท!J441+ตราด!J441+นครนายก!J441+นครปฐม!J441+ปทุมธานี!J441+ประจวบคีรีขันธ์!J441+ปราจีนบุรี!J441+พระนครศรีอยุธยา!J441+เพชรบุรี!J441+ระยอง!J441+ราชบุรี!J441+ลพบุรี!J441+สระแก้ว!J441+สระบุรี!J441+สิงห์บุรี!J441+สุพรรณบุรี!J441+อ่างทอง!J441</f>
        <v>0</v>
      </c>
      <c r="K441" s="48">
        <f t="shared" ca="1" si="39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f>กาญจนบุรี!J442+จันทบุรี!J442+ฉะเชิงเทรา!J442+ชลบุรี!J442+ชัยนาท!J442+ตราด!J442+นครนายก!J442+นครปฐม!J442+ปทุมธานี!J442+ประจวบคีรีขันธ์!J442+ปราจีนบุรี!J442+พระนครศรีอยุธยา!J442+เพชรบุรี!J442+ระยอง!J442+ราชบุรี!J442+ลพบุรี!J442+สระแก้ว!J442+สระบุรี!J442+สิงห์บุรี!J442+สุพรรณบุรี!J442+อ่างทอง!J442</f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f>กาญจนบุรี!J443+จันทบุรี!J443+ฉะเชิงเทรา!J443+ชลบุรี!J443+ชัยนาท!J443+ตราด!J443+นครนายก!J443+นครปฐม!J443+ปทุมธานี!J443+ประจวบคีรีขันธ์!J443+ปราจีนบุรี!J443+พระนครศรีอยุธยา!J443+เพชรบุรี!J443+ระยอง!J443+ราชบุรี!J443+ลพบุรี!J443+สระแก้ว!J443+สระบุรี!J443+สิงห์บุรี!J443+สุพรรณบุรี!J443+อ่างทอง!J443</f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ca="1">กาญจนบุรี!I444+จันทบุรี!I444+ฉะเชิงเทรา!I444+ชลบุรี!I444+ชัยนาท!I444+ตราด!I444+นครนายก!I444+นครปฐม!I444+ปทุมธานี!I444+ประจวบคีรีขันธ์!I444+ปราจีนบุรี!I444+พระนครศรีอยุธยา!I444+เพชรบุรี!I444+ระยอง!I444+ราชบุรี!I444+ลพบุรี!I444+สระแก้ว!I444+สระบุรี!I444+สิงห์บุรี!I444+สุพรรณบุรี!I444+อ่างทอง!I444</f>
        <v>3000</v>
      </c>
      <c r="J444" s="257">
        <f>กาญจนบุรี!J444+จันทบุรี!J444+ฉะเชิงเทรา!J444+ชลบุรี!J444+ชัยนาท!J444+ตราด!J444+นครนายก!J444+นครปฐม!J444+ปทุมธานี!J444+ประจวบคีรีขันธ์!J444+ปราจีนบุรี!J444+พระนครศรีอยุธยา!J444+เพชรบุรี!J444+ระยอง!J444+ราชบุรี!J444+ลพบุรี!J444+สระแก้ว!J444+สระบุรี!J444+สิงห์บุรี!J444+สุพรรณบุรี!J444+อ่างทอง!J444</f>
        <v>0</v>
      </c>
      <c r="K444" s="258">
        <f ca="1">IF(I444&gt;0,J444*100/I444,0)</f>
        <v>0</v>
      </c>
      <c r="L444" s="259">
        <f ca="1">กาญจนบุรี!L444+จันทบุรี!L444+ฉะเชิงเทรา!L444+ชลบุรี!L444+ชัยนาท!L444+ตราด!L444+นครนายก!L444+นครปฐม!L444+ปทุมธานี!L444+ประจวบคีรีขันธ์!L444+ปราจีนบุรี!L444+พระนครศรีอยุธยา!L444+เพชรบุรี!L444+ระยอง!L444+ราชบุรี!L444+ลพบุรี!L444+สระแก้ว!L444+สระบุรี!L444+สิงห์บุรี!L444+สุพรรณบุรี!L444+อ่างทอง!L444</f>
        <v>198000</v>
      </c>
      <c r="M444" s="259">
        <f>กาญจนบุรี!M444+จันทบุรี!M444+ฉะเชิงเทรา!M444+ชลบุรี!M444+ชัยนาท!M444+ตราด!M444+นครนายก!M444+นครปฐม!M444+ปทุมธานี!M444+ประจวบคีรีขันธ์!M444+ปราจีนบุรี!M444+พระนครศรีอยุธยา!M444+เพชรบุรี!M444+ระยอง!M444+ราชบุรี!M444+ลพบุรี!M444+สระแก้ว!M444+สระบุรี!M444+สิงห์บุรี!M444+สุพรรณบุรี!M444+อ่างทอง!M444</f>
        <v>0</v>
      </c>
      <c r="N444" s="259">
        <f t="shared" ref="N444:N448" ca="1" si="4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f>กาญจนบุรี!L445+จันทบุรี!L445+ฉะเชิงเทรา!L445+ชลบุรี!L445+ชัยนาท!L445+ตราด!L445+นครนายก!L445+นครปฐม!L445+ปทุมธานี!L445+ประจวบคีรีขันธ์!L445+ปราจีนบุรี!L445+พระนครศรีอยุธยา!L445+เพชรบุรี!L445+ระยอง!L445+ราชบุรี!L445+ลพบุรี!L445+สระแก้ว!L445+สระบุรี!L445+สิงห์บุรี!L445+สุพรรณบุรี!L445+อ่างทอง!L445</f>
        <v>0</v>
      </c>
      <c r="M445" s="52">
        <f>กาญจนบุรี!M445+จันทบุรี!M445+ฉะเชิงเทรา!M445+ชลบุรี!M445+ชัยนาท!M445+ตราด!M445+นครนายก!M445+นครปฐม!M445+ปทุมธานี!M445+ประจวบคีรีขันธ์!M445+ปราจีนบุรี!M445+พระนครศรีอยุธยา!M445+เพชรบุรี!M445+ระยอง!M445+ราชบุรี!M445+ลพบุรี!M445+สระแก้ว!M445+สระบุรี!M445+สิงห์บุรี!M445+สุพรรณบุรี!M445+อ่างทอง!M445</f>
        <v>0</v>
      </c>
      <c r="N445" s="52">
        <f t="shared" si="4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ca="1">กาญจนบุรี!L446+จันทบุรี!L446+ฉะเชิงเทรา!L446+ชลบุรี!L446+ชัยนาท!L446+ตราด!L446+นครนายก!L446+นครปฐม!L446+ปทุมธานี!L446+ประจวบคีรีขันธ์!L446+ปราจีนบุรี!L446+พระนครศรีอยุธยา!L446+เพชรบุรี!L446+ระยอง!L446+ราชบุรี!L446+ลพบุรี!L446+สระแก้ว!L446+สระบุรี!L446+สิงห์บุรี!L446+สุพรรณบุรี!L446+อ่างทอง!L446</f>
        <v>198000</v>
      </c>
      <c r="M446" s="52">
        <f>กาญจนบุรี!M446+จันทบุรี!M446+ฉะเชิงเทรา!M446+ชลบุรี!M446+ชัยนาท!M446+ตราด!M446+นครนายก!M446+นครปฐม!M446+ปทุมธานี!M446+ประจวบคีรีขันธ์!M446+ปราจีนบุรี!M446+พระนครศรีอยุธยา!M446+เพชรบุรี!M446+ระยอง!M446+ราชบุรี!M446+ลพบุรี!M446+สระแก้ว!M446+สระบุรี!M446+สิงห์บุรี!M446+สุพรรณบุรี!M446+อ่างทอง!M446</f>
        <v>0</v>
      </c>
      <c r="N446" s="52">
        <f t="shared" ca="1" si="4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กาญจนบุรี!L447+จันทบุรี!L447+ฉะเชิงเทรา!L447+ชลบุรี!L447+ชัยนาท!L447+ตราด!L447+นครนายก!L447+นครปฐม!L447+ปทุมธานี!L447+ประจวบคีรีขันธ์!L447+ปราจีนบุรี!L447+พระนครศรีอยุธยา!L447+เพชรบุรี!L447+ระยอง!L447+ราชบุรี!L447+ลพบุรี!L447+สระแก้ว!L447+สระบุรี!L447+สิงห์บุรี!L447+สุพรรณบุรี!L447+อ่างทอง!L447</f>
        <v>0</v>
      </c>
      <c r="M447" s="52">
        <f>กาญจนบุรี!M447+จันทบุรี!M447+ฉะเชิงเทรา!M447+ชลบุรี!M447+ชัยนาท!M447+ตราด!M447+นครนายก!M447+นครปฐม!M447+ปทุมธานี!M447+ประจวบคีรีขันธ์!M447+ปราจีนบุรี!M447+พระนครศรีอยุธยา!M447+เพชรบุรี!M447+ระยอง!M447+ราชบุรี!M447+ลพบุรี!M447+สระแก้ว!M447+สระบุรี!M447+สิงห์บุรี!M447+สุพรรณบุรี!M447+อ่างทอง!M447</f>
        <v>0</v>
      </c>
      <c r="N447" s="52">
        <f t="shared" ca="1" si="4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กาญจนบุรี!L448+จันทบุรี!L448+ฉะเชิงเทรา!L448+ชลบุรี!L448+ชัยนาท!L448+ตราด!L448+นครนายก!L448+นครปฐม!L448+ปทุมธานี!L448+ประจวบคีรีขันธ์!L448+ปราจีนบุรี!L448+พระนครศรีอยุธยา!L448+เพชรบุรี!L448+ระยอง!L448+ราชบุรี!L448+ลพบุรี!L448+สระแก้ว!L448+สระบุรี!L448+สิงห์บุรี!L448+สุพรรณบุรี!L448+อ่างทอง!L448</f>
        <v>198000</v>
      </c>
      <c r="M448" s="52">
        <f>กาญจนบุรี!M448+จันทบุรี!M448+ฉะเชิงเทรา!M448+ชลบุรี!M448+ชัยนาท!M448+ตราด!M448+นครนายก!M448+นครปฐม!M448+ปทุมธานี!M448+ประจวบคีรีขันธ์!M448+ปราจีนบุรี!M448+พระนครศรีอยุธยา!M448+เพชรบุรี!M448+ระยอง!M448+ราชบุรี!M448+ลพบุรี!M448+สระแก้ว!M448+สระบุรี!M448+สิงห์บุรี!M448+สุพรรณบุรี!M448+อ่างทอง!M448</f>
        <v>0</v>
      </c>
      <c r="N448" s="52">
        <f t="shared" ca="1" si="4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3">
        <f>กาญจนบุรี!M449+จันทบุรี!M449+ฉะเชิงเทรา!M449+ชลบุรี!M449+ชัยนาท!M449+ตราด!M449+นครนายก!M449+นครปฐม!M449+ปทุมธานี!M449+ประจวบคีรีขันธ์!M449+ปราจีนบุรี!M449+พระนครศรีอยุธยา!M449+เพชรบุรี!M449+ระยอง!M449+ราชบุรี!M449+ลพบุรี!M449+สระแก้ว!M449+สระบุรี!M449+สิงห์บุรี!M449+สุพรรณบุรี!M449+อ่างทอง!M449</f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3">
        <f>กาญจนบุรี!M450+จันทบุรี!M450+ฉะเชิงเทรา!M450+ชลบุรี!M450+ชัยนาท!M450+ตราด!M450+นครนายก!M450+นครปฐม!M450+ปทุมธานี!M450+ประจวบคีรีขันธ์!M450+ปราจีนบุรี!M450+พระนครศรีอยุธยา!M450+เพชรบุรี!M450+ระยอง!M450+ราชบุรี!M450+ลพบุรี!M450+สระแก้ว!M450+สระบุรี!M450+สิงห์บุรี!M450+สุพรรณบุรี!M450+อ่างทอง!M450</f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3">
        <f>กาญจนบุรี!M451+จันทบุรี!M451+ฉะเชิงเทรา!M451+ชลบุรี!M451+ชัยนาท!M451+ตราด!M451+นครนายก!M451+นครปฐม!M451+ปทุมธานี!M451+ประจวบคีรีขันธ์!M451+ปราจีนบุรี!M451+พระนครศรีอยุธยา!M451+เพชรบุรี!M451+ระยอง!M451+ราชบุรี!M451+ลพบุรี!M451+สระแก้ว!M451+สระบุรี!M451+สิงห์บุรี!M451+สุพรรณบุรี!M451+อ่างทอง!M451</f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3">
        <f>กาญจนบุรี!M452+จันทบุรี!M452+ฉะเชิงเทรา!M452+ชลบุรี!M452+ชัยนาท!M452+ตราด!M452+นครนายก!M452+นครปฐม!M452+ปทุมธานี!M452+ประจวบคีรีขันธ์!M452+ปราจีนบุรี!M452+พระนครศรีอยุธยา!M452+เพชรบุรี!M452+ระยอง!M452+ราชบุรี!M452+ลพบุรี!M452+สระแก้ว!M452+สระบุรี!M452+สิงห์บุรี!M452+สุพรรณบุรี!M452+อ่างทอง!M452</f>
        <v>0</v>
      </c>
      <c r="N452" s="52"/>
    </row>
    <row r="453" spans="1:14" ht="21.75" customHeight="1" x14ac:dyDescent="0.55000000000000004">
      <c r="A453" s="229"/>
      <c r="B453" s="230"/>
      <c r="C453" s="230"/>
      <c r="D453" s="312"/>
      <c r="E453" s="313"/>
      <c r="F453" s="313" t="s">
        <v>186</v>
      </c>
      <c r="G453" s="314"/>
      <c r="H453" s="315" t="s">
        <v>103</v>
      </c>
      <c r="I453" s="66">
        <f ca="1">กาญจนบุรี!I453+จันทบุรี!I453+ฉะเชิงเทรา!I453+ชลบุรี!I453+ชัยนาท!I453+ตราด!I453+นครนายก!I453+นครปฐม!I453+ปทุมธานี!I453+ประจวบคีรีขันธ์!I453+ปราจีนบุรี!I453+พระนครศรีอยุธยา!I453+เพชรบุรี!I453+ระยอง!I453+ราชบุรี!I453+ลพบุรี!I453+สระแก้ว!I453+สระบุรี!I453+สิงห์บุรี!I453+สุพรรณบุรี!I453+อ่างทอง!I453</f>
        <v>3000</v>
      </c>
      <c r="J453" s="66">
        <f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0</v>
      </c>
      <c r="K453" s="232">
        <f ca="1">IF(I453&gt;0,J453*100/I453,0)</f>
        <v>0</v>
      </c>
      <c r="L453" s="52"/>
      <c r="M453" s="52"/>
      <c r="N453" s="52"/>
    </row>
    <row r="454" spans="1:14" ht="21.75" customHeight="1" x14ac:dyDescent="0.55000000000000004">
      <c r="A454" s="229"/>
      <c r="B454" s="230"/>
      <c r="C454" s="230"/>
      <c r="D454" s="312"/>
      <c r="E454" s="313"/>
      <c r="F454" s="313"/>
      <c r="G454" s="314"/>
      <c r="H454" s="315" t="s">
        <v>15</v>
      </c>
      <c r="I454" s="66">
        <f ca="1">กาญจนบุรี!I454+จันทบุรี!I454+ฉะเชิงเทรา!I454+ชลบุรี!I454+ชัยนาท!I454+ตราด!I454+นครนายก!I454+นครปฐม!I454+ปทุมธานี!I454+ประจวบคีรีขันธ์!I454+ปราจีนบุรี!I454+พระนครศรีอยุธยา!I454+เพชรบุรี!I454+ระยอง!I454+ราชบุรี!I454+ลพบุรี!I454+สระแก้ว!I454+สระบุรี!I454+สิงห์บุรี!I454+สุพรรณบุรี!I454+อ่างทอง!I454</f>
        <v>0</v>
      </c>
      <c r="J454" s="66">
        <f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0</v>
      </c>
      <c r="K454" s="232"/>
      <c r="L454" s="52"/>
      <c r="M454" s="52"/>
      <c r="N454" s="52"/>
    </row>
    <row r="455" spans="1:14" ht="21.75" customHeight="1" x14ac:dyDescent="0.55000000000000004">
      <c r="A455" s="229"/>
      <c r="B455" s="230"/>
      <c r="C455" s="230"/>
      <c r="D455" s="312"/>
      <c r="E455" s="313"/>
      <c r="F455" s="313" t="s">
        <v>187</v>
      </c>
      <c r="G455" s="314"/>
      <c r="H455" s="315" t="s">
        <v>103</v>
      </c>
      <c r="I455" s="66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0</v>
      </c>
      <c r="J455" s="66">
        <f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0</v>
      </c>
      <c r="K455" s="232">
        <f ca="1">IF(I455&gt;0,J455*100/I455,0)</f>
        <v>0</v>
      </c>
      <c r="L455" s="52"/>
      <c r="M455" s="52"/>
      <c r="N455" s="52"/>
    </row>
    <row r="456" spans="1:14" ht="21.75" customHeight="1" x14ac:dyDescent="0.55000000000000004">
      <c r="A456" s="229"/>
      <c r="B456" s="230"/>
      <c r="C456" s="230"/>
      <c r="D456" s="312"/>
      <c r="E456" s="313"/>
      <c r="F456" s="313"/>
      <c r="G456" s="314"/>
      <c r="H456" s="315" t="s">
        <v>15</v>
      </c>
      <c r="I456" s="66">
        <f ca="1">กาญจนบุรี!I456+จันทบุรี!I456+ฉะเชิงเทรา!I456+ชลบุรี!I456+ชัยนาท!I456+ตราด!I456+นครนายก!I456+นครปฐม!I456+ปทุมธานี!I456+ประจวบคีรีขันธ์!I456+ปราจีนบุรี!I456+พระนครศรีอยุธยา!I456+เพชรบุรี!I456+ระยอง!I456+ราชบุรี!I456+ลพบุรี!I456+สระแก้ว!I456+สระบุรี!I456+สิงห์บุรี!I456+สุพรรณบุรี!I456+อ่างทอง!I456</f>
        <v>0</v>
      </c>
      <c r="J456" s="66">
        <f>กาญจนบุรี!J456+จันทบุรี!J456+ฉะเชิงเทรา!J456+ชลบุรี!J456+ชัยนาท!J456+ตราด!J456+นครนายก!J456+นครปฐม!J456+ปทุมธานี!J456+ประจวบคีรีขันธ์!J456+ปราจีนบุรี!J456+พระนครศรีอยุธยา!J456+เพชรบุรี!J456+ระยอง!J456+ราชบุรี!J456+ลพบุรี!J456+สระแก้ว!J456+สระบุรี!J456+สิงห์บุรี!J456+สุพรรณบุรี!J456+อ่างทอง!J456</f>
        <v>0</v>
      </c>
      <c r="K456" s="232"/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กาญจนบุรี!I457+จันทบุรี!I457+ฉะเชิงเทรา!I457+ชลบุรี!I457+ชัยนาท!I457+ตราด!I457+นครนายก!I457+นครปฐม!I457+ปทุมธานี!I457+ประจวบคีรีขันธ์!I457+ปราจีนบุรี!I457+พระนครศรีอยุธยา!I457+เพชรบุรี!I457+ระยอง!I457+ราชบุรี!I457+ลพบุรี!I457+สระแก้ว!I457+สระบุรี!I457+สิงห์บุรี!I457+สุพรรณบุรี!I457+อ่างทอง!I457</f>
        <v>15740</v>
      </c>
      <c r="J457" s="226">
        <f>กาญจนบุรี!J457+จันทบุรี!J457+ฉะเชิงเทรา!J457+ชลบุรี!J457+ชัยนาท!J457+ตราด!J457+นครนายก!J457+นครปฐม!J457+ปทุมธานี!J457+ประจวบคีรีขันธ์!J457+ปราจีนบุรี!J457+พระนครศรีอยุธยา!J457+เพชรบุรี!J457+ระยอง!J457+ราชบุรี!J457+ลพบุรี!J457+สระแก้ว!J457+สระบุรี!J457+สิงห์บุรี!J457+สุพรรณบุรี!J457+อ่างทอง!J457</f>
        <v>2909</v>
      </c>
      <c r="K457" s="227">
        <f ca="1">IF(I457&gt;0,J457*100/I457,0)</f>
        <v>18.481575603557815</v>
      </c>
      <c r="L457" s="228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2661040</v>
      </c>
      <c r="M457" s="228">
        <f>กาญจนบุรี!M457+จันทบุรี!M457+ฉะเชิงเทรา!M457+ชลบุรี!M457+ชัยนาท!M457+ตราด!M457+นครนายก!M457+นครปฐม!M457+ปทุมธานี!M457+ประจวบคีรีขันธ์!M457+ปราจีนบุรี!M457+พระนครศรีอยุธยา!M457+เพชรบุรี!M457+ระยอง!M457+ราชบุรี!M457+ลพบุรี!M457+สระแก้ว!M457+สระบุรี!M457+สิงห์บุรี!M457+สุพรรณบุรี!M457+อ่างทอง!M457</f>
        <v>118567.61</v>
      </c>
      <c r="N457" s="228">
        <f t="shared" ref="N457:N461" ca="1" si="41">+IF(L457&gt;0,M457*100/L457,0)</f>
        <v>4.4556868743047833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f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52">
        <f>กาญจนบุรี!M458+จันทบุรี!M458+ฉะเชิงเทรา!M458+ชลบุรี!M458+ชัยนาท!M458+ตราด!M458+นครนายก!M458+นครปฐม!M458+ปทุมธานี!M458+ประจวบคีรีขันธ์!M458+ปราจีนบุรี!M458+พระนครศรีอยุธยา!M458+เพชรบุรี!M458+ระยอง!M458+ราชบุรี!M458+ลพบุรี!M458+สระแก้ว!M458+สระบุรี!M458+สิงห์บุรี!M458+สุพรรณบุรี!M458+อ่างทอง!M458</f>
        <v>0</v>
      </c>
      <c r="N458" s="52">
        <f t="shared" si="41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2661040</v>
      </c>
      <c r="M459" s="52">
        <f>กาญจนบุรี!M459+จันทบุรี!M459+ฉะเชิงเทรา!M459+ชลบุรี!M459+ชัยนาท!M459+ตราด!M459+นครนายก!M459+นครปฐม!M459+ปทุมธานี!M459+ประจวบคีรีขันธ์!M459+ปราจีนบุรี!M459+พระนครศรีอยุธยา!M459+เพชรบุรี!M459+ระยอง!M459+ราชบุรี!M459+ลพบุรี!M459+สระแก้ว!M459+สระบุรี!M459+สิงห์บุรี!M459+สุพรรณบุรี!M459+อ่างทอง!M459</f>
        <v>118567.61</v>
      </c>
      <c r="N459" s="52">
        <f t="shared" ca="1" si="41"/>
        <v>4.4556868743047833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กาญจนบุรี!L460+จันทบุรี!L460+ฉะเชิงเทรา!L460+ชลบุรี!L460+ชัยนาท!L460+ตราด!L460+นครนายก!L460+นครปฐม!L460+ปทุมธานี!L460+ประจวบคีรีขันธ์!L460+ปราจีนบุรี!L460+พระนครศรีอยุธยา!L460+เพชรบุรี!L460+ระยอง!L460+ราชบุรี!L460+ลพบุรี!L460+สระแก้ว!L460+สระบุรี!L460+สิงห์บุรี!L460+สุพรรณบุรี!L460+อ่างทอง!L460</f>
        <v>0</v>
      </c>
      <c r="M460" s="52">
        <f>กาญจนบุรี!M460+จันทบุรี!M460+ฉะเชิงเทรา!M460+ชลบุรี!M460+ชัยนาท!M460+ตราด!M460+นครนายก!M460+นครปฐม!M460+ปทุมธานี!M460+ประจวบคีรีขันธ์!M460+ปราจีนบุรี!M460+พระนครศรีอยุธยา!M460+เพชรบุรี!M460+ระยอง!M460+ราชบุรี!M460+ลพบุรี!M460+สระแก้ว!M460+สระบุรี!M460+สิงห์บุรี!M460+สุพรรณบุรี!M460+อ่างทอง!M460</f>
        <v>0</v>
      </c>
      <c r="N460" s="52">
        <f t="shared" ca="1" si="41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กาญจนบุรี!L461+จันทบุรี!L461+ฉะเชิงเทรา!L461+ชลบุรี!L461+ชัยนาท!L461+ตราด!L461+นครนายก!L461+นครปฐม!L461+ปทุมธานี!L461+ประจวบคีรีขันธ์!L461+ปราจีนบุรี!L461+พระนครศรีอยุธยา!L461+เพชรบุรี!L461+ระยอง!L461+ราชบุรี!L461+ลพบุรี!L461+สระแก้ว!L461+สระบุรี!L461+สิงห์บุรี!L461+สุพรรณบุรี!L461+อ่างทอง!L461</f>
        <v>2661040</v>
      </c>
      <c r="M461" s="52">
        <f>กาญจนบุรี!M461+จันทบุรี!M461+ฉะเชิงเทรา!M461+ชลบุรี!M461+ชัยนาท!M461+ตราด!M461+นครนายก!M461+นครปฐม!M461+ปทุมธานี!M461+ประจวบคีรีขันธ์!M461+ปราจีนบุรี!M461+พระนครศรีอยุธยา!M461+เพชรบุรี!M461+ระยอง!M461+ราชบุรี!M461+ลพบุรี!M461+สระแก้ว!M461+สระบุรี!M461+สิงห์บุรี!M461+สุพรรณบุรี!M461+อ่างทอง!M461</f>
        <v>118567.61</v>
      </c>
      <c r="N461" s="52">
        <f t="shared" ca="1" si="41"/>
        <v>4.4556868743047833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f>กาญจนบุรี!M462+จันทบุรี!M462+ฉะเชิงเทรา!M462+ชลบุรี!M462+ชัยนาท!M462+ตราด!M462+นครนายก!M462+นครปฐม!M462+ปทุมธานี!M462+ประจวบคีรีขันธ์!M462+ปราจีนบุรี!M462+พระนครศรีอยุธยา!M462+เพชรบุรี!M462+ระยอง!M462+ราชบุรี!M462+ลพบุรี!M462+สระแก้ว!M462+สระบุรี!M462+สิงห์บุรี!M462+สุพรรณบุรี!M462+อ่างทอง!M462</f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f>กาญจนบุรี!M463+จันทบุรี!M463+ฉะเชิงเทรา!M463+ชลบุรี!M463+ชัยนาท!M463+ตราด!M463+นครนายก!M463+นครปฐม!M463+ปทุมธานี!M463+ประจวบคีรีขันธ์!M463+ปราจีนบุรี!M463+พระนครศรีอยุธยา!M463+เพชรบุรี!M463+ระยอง!M463+ราชบุรี!M463+ลพบุรี!M463+สระแก้ว!M463+สระบุรี!M463+สิงห์บุรี!M463+สุพรรณบุรี!M463+อ่างทอง!M463</f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f>กาญจนบุรี!M464+จันทบุรี!M464+ฉะเชิงเทรา!M464+ชลบุรี!M464+ชัยนาท!M464+ตราด!M464+นครนายก!M464+นครปฐม!M464+ปทุมธานี!M464+ประจวบคีรีขันธ์!M464+ปราจีนบุรี!M464+พระนครศรีอยุธยา!M464+เพชรบุรี!M464+ระยอง!M464+ราชบุรี!M464+ลพบุรี!M464+สระแก้ว!M464+สระบุรี!M464+สิงห์บุรี!M464+สุพรรณบุรี!M464+อ่างทอง!M464</f>
        <v>118567.61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f>กาญจนบุรี!M465+จันทบุรี!M465+ฉะเชิงเทรา!M465+ชลบุรี!M465+ชัยนาท!M465+ตราด!M465+นครนายก!M465+นครปฐม!M465+ปทุมธานี!M465+ประจวบคีรีขันธ์!M465+ปราจีนบุรี!M465+พระนครศรีอยุธยา!M465+เพชรบุรี!M465+ระยอง!M465+ราชบุรี!M465+ลพบุรี!M465+สระแก้ว!M465+สระบุรี!M465+สิงห์บุรี!M465+สุพรรณบุรี!M465+อ่างทอง!M465</f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15740</v>
      </c>
      <c r="J466" s="265">
        <f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2909</v>
      </c>
      <c r="K466" s="79">
        <f ca="1">IF(I466&gt;0,J466*100/I466,0)</f>
        <v>18.481575603557815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f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67">
        <f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2</v>
      </c>
      <c r="K468" s="48">
        <f t="shared" ref="K468:K472" si="42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f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67">
        <f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54</v>
      </c>
      <c r="K469" s="48">
        <f t="shared" si="42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f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67">
        <f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2851</v>
      </c>
      <c r="K470" s="48">
        <f t="shared" si="42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f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67">
        <f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4</v>
      </c>
      <c r="K471" s="48">
        <f t="shared" si="42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f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67">
        <f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0</v>
      </c>
      <c r="K472" s="48">
        <f t="shared" si="42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795</v>
      </c>
      <c r="J473" s="226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3</v>
      </c>
      <c r="K473" s="227">
        <f ca="1">IF(I473&gt;0,J473*100/I473,0)</f>
        <v>0.37735849056603776</v>
      </c>
      <c r="L473" s="228">
        <f ca="1">กาญจนบุรี!L473+จันทบุรี!L473+ฉะเชิงเทรา!L473+ชลบุรี!L473+ชัยนาท!L473+ตราด!L473+นครนายก!L473+นครปฐม!L473+ปทุมธานี!L473+ประจวบคีรีขันธ์!L473+ปราจีนบุรี!L473+พระนครศรีอยุธยา!L473+เพชรบุรี!L473+ระยอง!L473+ราชบุรี!L473+ลพบุรี!L473+สระแก้ว!L473+สระบุรี!L473+สิงห์บุรี!L473+สุพรรณบุรี!L473+อ่างทอง!L473</f>
        <v>1163595</v>
      </c>
      <c r="M473" s="228">
        <f>กาญจนบุรี!M473+จันทบุรี!M473+ฉะเชิงเทรา!M473+ชลบุรี!M473+ชัยนาท!M473+ตราด!M473+นครนายก!M473+นครปฐม!M473+ปทุมธานี!M473+ประจวบคีรีขันธ์!M473+ปราจีนบุรี!M473+พระนครศรีอยุธยา!M473+เพชรบุรี!M473+ระยอง!M473+ราชบุรี!M473+ลพบุรี!M473+สระแก้ว!M473+สระบุรี!M473+สิงห์บุรี!M473+สุพรรณบุรี!M473+อ่างทอง!M473</f>
        <v>10838.73</v>
      </c>
      <c r="N473" s="228">
        <f t="shared" ref="N473:N477" ca="1" si="43">+IF(L473&gt;0,M473*100/L473,0)</f>
        <v>0.93148647080814195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f>กาญจนบุรี!L474+จันทบุรี!L474+ฉะเชิงเทรา!L474+ชลบุรี!L474+ชัยนาท!L474+ตราด!L474+นครนายก!L474+นครปฐม!L474+ปทุมธานี!L474+ประจวบคีรีขันธ์!L474+ปราจีนบุรี!L474+พระนครศรีอยุธยา!L474+เพชรบุรี!L474+ระยอง!L474+ราชบุรี!L474+ลพบุรี!L474+สระแก้ว!L474+สระบุรี!L474+สิงห์บุรี!L474+สุพรรณบุรี!L474+อ่างทอง!L474</f>
        <v>0</v>
      </c>
      <c r="M474" s="52">
        <f>กาญจนบุรี!M474+จันทบุรี!M474+ฉะเชิงเทรา!M474+ชลบุรี!M474+ชัยนาท!M474+ตราด!M474+นครนายก!M474+นครปฐม!M474+ปทุมธานี!M474+ประจวบคีรีขันธ์!M474+ปราจีนบุรี!M474+พระนครศรีอยุธยา!M474+เพชรบุรี!M474+ระยอง!M474+ราชบุรี!M474+ลพบุรี!M474+สระแก้ว!M474+สระบุรี!M474+สิงห์บุรี!M474+สุพรรณบุรี!M474+อ่างทอง!M474</f>
        <v>0</v>
      </c>
      <c r="N474" s="52">
        <f t="shared" si="43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ca="1">กาญจนบุรี!L475+จันทบุรี!L475+ฉะเชิงเทรา!L475+ชลบุรี!L475+ชัยนาท!L475+ตราด!L475+นครนายก!L475+นครปฐม!L475+ปทุมธานี!L475+ประจวบคีรีขันธ์!L475+ปราจีนบุรี!L475+พระนครศรีอยุธยา!L475+เพชรบุรี!L475+ระยอง!L475+ราชบุรี!L475+ลพบุรี!L475+สระแก้ว!L475+สระบุรี!L475+สิงห์บุรี!L475+สุพรรณบุรี!L475+อ่างทอง!L475</f>
        <v>1163595</v>
      </c>
      <c r="M475" s="52">
        <f>กาญจนบุรี!M475+จันทบุรี!M475+ฉะเชิงเทรา!M475+ชลบุรี!M475+ชัยนาท!M475+ตราด!M475+นครนายก!M475+นครปฐม!M475+ปทุมธานี!M475+ประจวบคีรีขันธ์!M475+ปราจีนบุรี!M475+พระนครศรีอยุธยา!M475+เพชรบุรี!M475+ระยอง!M475+ราชบุรี!M475+ลพบุรี!M475+สระแก้ว!M475+สระบุรี!M475+สิงห์บุรี!M475+สุพรรณบุรี!M475+อ่างทอง!M475</f>
        <v>10838.73</v>
      </c>
      <c r="N475" s="52">
        <f t="shared" ca="1" si="43"/>
        <v>0.93148647080814195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กาญจนบุรี!L476+จันทบุรี!L476+ฉะเชิงเทรา!L476+ชลบุรี!L476+ชัยนาท!L476+ตราด!L476+นครนายก!L476+นครปฐม!L476+ปทุมธานี!L476+ประจวบคีรีขันธ์!L476+ปราจีนบุรี!L476+พระนครศรีอยุธยา!L476+เพชรบุรี!L476+ระยอง!L476+ราชบุรี!L476+ลพบุรี!L476+สระแก้ว!L476+สระบุรี!L476+สิงห์บุรี!L476+สุพรรณบุรี!L476+อ่างทอง!L476</f>
        <v>0</v>
      </c>
      <c r="M476" s="52">
        <f>กาญจนบุรี!M476+จันทบุรี!M476+ฉะเชิงเทรา!M476+ชลบุรี!M476+ชัยนาท!M476+ตราด!M476+นครนายก!M476+นครปฐม!M476+ปทุมธานี!M476+ประจวบคีรีขันธ์!M476+ปราจีนบุรี!M476+พระนครศรีอยุธยา!M476+เพชรบุรี!M476+ระยอง!M476+ราชบุรี!M476+ลพบุรี!M476+สระแก้ว!M476+สระบุรี!M476+สิงห์บุรี!M476+สุพรรณบุรี!M476+อ่างทอง!M476</f>
        <v>0</v>
      </c>
      <c r="N476" s="52">
        <f t="shared" ca="1" si="43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กาญจนบุรี!L477+จันทบุรี!L477+ฉะเชิงเทรา!L477+ชลบุรี!L477+ชัยนาท!L477+ตราด!L477+นครนายก!L477+นครปฐม!L477+ปทุมธานี!L477+ประจวบคีรีขันธ์!L477+ปราจีนบุรี!L477+พระนครศรีอยุธยา!L477+เพชรบุรี!L477+ระยอง!L477+ราชบุรี!L477+ลพบุรี!L477+สระแก้ว!L477+สระบุรี!L477+สิงห์บุรี!L477+สุพรรณบุรี!L477+อ่างทอง!L477</f>
        <v>1163595</v>
      </c>
      <c r="M477" s="52">
        <f>กาญจนบุรี!M477+จันทบุรี!M477+ฉะเชิงเทรา!M477+ชลบุรี!M477+ชัยนาท!M477+ตราด!M477+นครนายก!M477+นครปฐม!M477+ปทุมธานี!M477+ประจวบคีรีขันธ์!M477+ปราจีนบุรี!M477+พระนครศรีอยุธยา!M477+เพชรบุรี!M477+ระยอง!M477+ราชบุรี!M477+ลพบุรี!M477+สระแก้ว!M477+สระบุรี!M477+สิงห์บุรี!M477+สุพรรณบุรี!M477+อ่างทอง!M477</f>
        <v>10838.73</v>
      </c>
      <c r="N477" s="52">
        <f t="shared" ca="1" si="43"/>
        <v>0.93148647080814195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3">
        <f>กาญจนบุรี!M478+จันทบุรี!M478+ฉะเชิงเทรา!M478+ชลบุรี!M478+ชัยนาท!M478+ตราด!M478+นครนายก!M478+นครปฐม!M478+ปทุมธานี!M478+ประจวบคีรีขันธ์!M478+ปราจีนบุรี!M478+พระนครศรีอยุธยา!M478+เพชรบุรี!M478+ระยอง!M478+ราชบุรี!M478+ลพบุรี!M478+สระแก้ว!M478+สระบุรี!M478+สิงห์บุรี!M478+สุพรรณบุรี!M478+อ่างทอง!M478</f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3">
        <f>กาญจนบุรี!M479+จันทบุรี!M479+ฉะเชิงเทรา!M479+ชลบุรี!M479+ชัยนาท!M479+ตราด!M479+นครนายก!M479+นครปฐม!M479+ปทุมธานี!M479+ประจวบคีรีขันธ์!M479+ปราจีนบุรี!M479+พระนครศรีอยุธยา!M479+เพชรบุรี!M479+ระยอง!M479+ราชบุรี!M479+ลพบุรี!M479+สระแก้ว!M479+สระบุรี!M479+สิงห์บุรี!M479+สุพรรณบุรี!M479+อ่างทอง!M479</f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3">
        <f>กาญจนบุรี!M480+จันทบุรี!M480+ฉะเชิงเทรา!M480+ชลบุรี!M480+ชัยนาท!M480+ตราด!M480+นครนายก!M480+นครปฐม!M480+ปทุมธานี!M480+ประจวบคีรีขันธ์!M480+ปราจีนบุรี!M480+พระนครศรีอยุธยา!M480+เพชรบุรี!M480+ระยอง!M480+ราชบุรี!M480+ลพบุรี!M480+สระแก้ว!M480+สระบุรี!M480+สิงห์บุรี!M480+สุพรรณบุรี!M480+อ่างทอง!M480</f>
        <v>10838.73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3">
        <f>กาญจนบุรี!M481+จันทบุรี!M481+ฉะเชิงเทรา!M481+ชลบุรี!M481+ชัยนาท!M481+ตราด!M481+นครนายก!M481+นครปฐม!M481+ปทุมธานี!M481+ประจวบคีรีขันธ์!M481+ปราจีนบุรี!M481+พระนครศรีอยุธยา!M481+เพชรบุรี!M481+ระยอง!M481+ราชบุรี!M481+ลพบุรี!M481+สระแก้ว!M481+สระบุรี!M481+สิงห์บุรี!M481+สุพรรณบุรี!M481+อ่างทอง!M481</f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795</v>
      </c>
      <c r="J482" s="67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108</v>
      </c>
      <c r="K482" s="48">
        <f t="shared" ref="K482:K489" ca="1" si="44">IF(I482&gt;0,J482*100/I482,0)</f>
        <v>13.584905660377359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67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93.14</v>
      </c>
      <c r="K483" s="48">
        <f t="shared" ca="1" si="44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795</v>
      </c>
      <c r="J484" s="67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1</v>
      </c>
      <c r="K484" s="48">
        <f t="shared" ca="1" si="44"/>
        <v>0.12578616352201258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67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0.56000000000000005</v>
      </c>
      <c r="K485" s="48">
        <f t="shared" ca="1" si="44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795</v>
      </c>
      <c r="J486" s="67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0</v>
      </c>
      <c r="K486" s="48">
        <f t="shared" ca="1" si="44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67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0</v>
      </c>
      <c r="K487" s="48">
        <f t="shared" ca="1" si="44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795</v>
      </c>
      <c r="J488" s="67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3</v>
      </c>
      <c r="K488" s="48">
        <f t="shared" ca="1" si="44"/>
        <v>0.37735849056603776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300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2.2400000000000002</v>
      </c>
      <c r="K489" s="113">
        <f t="shared" ca="1" si="44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303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1632</v>
      </c>
      <c r="J490" s="303">
        <f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0</v>
      </c>
      <c r="K490" s="304">
        <f ca="1">IF(I490&gt;0,J490*100/I490,0)</f>
        <v>0</v>
      </c>
      <c r="L490" s="259">
        <f ca="1">กาญจนบุรี!L490+จันทบุรี!L490+ฉะเชิงเทรา!L490+ชลบุรี!L490+ชัยนาท!L490+ตราด!L490+นครนายก!L490+นครปฐม!L490+ปทุมธานี!L490+ประจวบคีรีขันธ์!L490+ปราจีนบุรี!L490+พระนครศรีอยุธยา!L490+เพชรบุรี!L490+ระยอง!L490+ราชบุรี!L490+ลพบุรี!L490+สระแก้ว!L490+สระบุรี!L490+สิงห์บุรี!L490+สุพรรณบุรี!L490+อ่างทอง!L490</f>
        <v>148960</v>
      </c>
      <c r="M490" s="259">
        <f>กาญจนบุรี!M490+จันทบุรี!M490+ฉะเชิงเทรา!M490+ชลบุรี!M490+ชัยนาท!M490+ตราด!M490+นครนายก!M490+นครปฐม!M490+ปทุมธานี!M490+ประจวบคีรีขันธ์!M490+ปราจีนบุรี!M490+พระนครศรีอยุธยา!M490+เพชรบุรี!M490+ระยอง!M490+ราชบุรี!M490+ลพบุรี!M490+สระแก้ว!M490+สระบุรี!M490+สิงห์บุรี!M490+สุพรรณบุรี!M490+อ่างทอง!M490</f>
        <v>9510</v>
      </c>
      <c r="N490" s="259">
        <f t="shared" ref="N490:N494" ca="1" si="45">+IF(L490&gt;0,M490*100/L490,0)</f>
        <v>6.3842642320085927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f>กาญจนบุรี!L491+จันทบุรี!L491+ฉะเชิงเทรา!L491+ชลบุรี!L491+ชัยนาท!L491+ตราด!L491+นครนายก!L491+นครปฐม!L491+ปทุมธานี!L491+ประจวบคีรีขันธ์!L491+ปราจีนบุรี!L491+พระนครศรีอยุธยา!L491+เพชรบุรี!L491+ระยอง!L491+ราชบุรี!L491+ลพบุรี!L491+สระแก้ว!L491+สระบุรี!L491+สิงห์บุรี!L491+สุพรรณบุรี!L491+อ่างทอง!L491</f>
        <v>0</v>
      </c>
      <c r="M491" s="52">
        <f>กาญจนบุรี!M491+จันทบุรี!M491+ฉะเชิงเทรา!M491+ชลบุรี!M491+ชัยนาท!M491+ตราด!M491+นครนายก!M491+นครปฐม!M491+ปทุมธานี!M491+ประจวบคีรีขันธ์!M491+ปราจีนบุรี!M491+พระนครศรีอยุธยา!M491+เพชรบุรี!M491+ระยอง!M491+ราชบุรี!M491+ลพบุรี!M491+สระแก้ว!M491+สระบุรี!M491+สิงห์บุรี!M491+สุพรรณบุรี!M491+อ่างทอง!M491</f>
        <v>0</v>
      </c>
      <c r="N491" s="52">
        <f t="shared" si="45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ca="1">กาญจนบุรี!L492+จันทบุรี!L492+ฉะเชิงเทรา!L492+ชลบุรี!L492+ชัยนาท!L492+ตราด!L492+นครนายก!L492+นครปฐม!L492+ปทุมธานี!L492+ประจวบคีรีขันธ์!L492+ปราจีนบุรี!L492+พระนครศรีอยุธยา!L492+เพชรบุรี!L492+ระยอง!L492+ราชบุรี!L492+ลพบุรี!L492+สระแก้ว!L492+สระบุรี!L492+สิงห์บุรี!L492+สุพรรณบุรี!L492+อ่างทอง!L492</f>
        <v>148960</v>
      </c>
      <c r="M492" s="52">
        <f>กาญจนบุรี!M492+จันทบุรี!M492+ฉะเชิงเทรา!M492+ชลบุรี!M492+ชัยนาท!M492+ตราด!M492+นครนายก!M492+นครปฐม!M492+ปทุมธานี!M492+ประจวบคีรีขันธ์!M492+ปราจีนบุรี!M492+พระนครศรีอยุธยา!M492+เพชรบุรี!M492+ระยอง!M492+ราชบุรี!M492+ลพบุรี!M492+สระแก้ว!M492+สระบุรี!M492+สิงห์บุรี!M492+สุพรรณบุรี!M492+อ่างทอง!M492</f>
        <v>9510</v>
      </c>
      <c r="N492" s="52">
        <f t="shared" ca="1" si="45"/>
        <v>6.3842642320085927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กาญจนบุรี!L493+จันทบุรี!L493+ฉะเชิงเทรา!L493+ชลบุรี!L493+ชัยนาท!L493+ตราด!L493+นครนายก!L493+นครปฐม!L493+ปทุมธานี!L493+ประจวบคีรีขันธ์!L493+ปราจีนบุรี!L493+พระนครศรีอยุธยา!L493+เพชรบุรี!L493+ระยอง!L493+ราชบุรี!L493+ลพบุรี!L493+สระแก้ว!L493+สระบุรี!L493+สิงห์บุรี!L493+สุพรรณบุรี!L493+อ่างทอง!L493</f>
        <v>0</v>
      </c>
      <c r="M493" s="52">
        <f>กาญจนบุรี!M493+จันทบุรี!M493+ฉะเชิงเทรา!M493+ชลบุรี!M493+ชัยนาท!M493+ตราด!M493+นครนายก!M493+นครปฐม!M493+ปทุมธานี!M493+ประจวบคีรีขันธ์!M493+ปราจีนบุรี!M493+พระนครศรีอยุธยา!M493+เพชรบุรี!M493+ระยอง!M493+ราชบุรี!M493+ลพบุรี!M493+สระแก้ว!M493+สระบุรี!M493+สิงห์บุรี!M493+สุพรรณบุรี!M493+อ่างทอง!M493</f>
        <v>0</v>
      </c>
      <c r="N493" s="52">
        <f t="shared" ca="1" si="45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กาญจนบุรี!L494+จันทบุรี!L494+ฉะเชิงเทรา!L494+ชลบุรี!L494+ชัยนาท!L494+ตราด!L494+นครนายก!L494+นครปฐม!L494+ปทุมธานี!L494+ประจวบคีรีขันธ์!L494+ปราจีนบุรี!L494+พระนครศรีอยุธยา!L494+เพชรบุรี!L494+ระยอง!L494+ราชบุรี!L494+ลพบุรี!L494+สระแก้ว!L494+สระบุรี!L494+สิงห์บุรี!L494+สุพรรณบุรี!L494+อ่างทอง!L494</f>
        <v>148960</v>
      </c>
      <c r="M494" s="52">
        <f>กาญจนบุรี!M494+จันทบุรี!M494+ฉะเชิงเทรา!M494+ชลบุรี!M494+ชัยนาท!M494+ตราด!M494+นครนายก!M494+นครปฐม!M494+ปทุมธานี!M494+ประจวบคีรีขันธ์!M494+ปราจีนบุรี!M494+พระนครศรีอยุธยา!M494+เพชรบุรี!M494+ระยอง!M494+ราชบุรี!M494+ลพบุรี!M494+สระแก้ว!M494+สระบุรี!M494+สิงห์บุรี!M494+สุพรรณบุรี!M494+อ่างทอง!M494</f>
        <v>9510</v>
      </c>
      <c r="N494" s="52">
        <f t="shared" ca="1" si="45"/>
        <v>6.3842642320085927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3">
        <f>กาญจนบุรี!M495+จันทบุรี!M495+ฉะเชิงเทรา!M495+ชลบุรี!M495+ชัยนาท!M495+ตราด!M495+นครนายก!M495+นครปฐม!M495+ปทุมธานี!M495+ประจวบคีรีขันธ์!M495+ปราจีนบุรี!M495+พระนครศรีอยุธยา!M495+เพชรบุรี!M495+ระยอง!M495+ราชบุรี!M495+ลพบุรี!M495+สระแก้ว!M495+สระบุรี!M495+สิงห์บุรี!M495+สุพรรณบุรี!M495+อ่างทอง!M495</f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3">
        <f>กาญจนบุรี!M496+จันทบุรี!M496+ฉะเชิงเทรา!M496+ชลบุรี!M496+ชัยนาท!M496+ตราด!M496+นครนายก!M496+นครปฐม!M496+ปทุมธานี!M496+ประจวบคีรีขันธ์!M496+ปราจีนบุรี!M496+พระนครศรีอยุธยา!M496+เพชรบุรี!M496+ระยอง!M496+ราชบุรี!M496+ลพบุรี!M496+สระแก้ว!M496+สระบุรี!M496+สิงห์บุรี!M496+สุพรรณบุรี!M496+อ่างทอง!M496</f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f>กาญจนบุรี!M497+จันทบุรี!M497+ฉะเชิงเทรา!M497+ชลบุรี!M497+ชัยนาท!M497+ตราด!M497+นครนายก!M497+นครปฐม!M497+ปทุมธานี!M497+ประจวบคีรีขันธ์!M497+ปราจีนบุรี!M497+พระนครศรีอยุธยา!M497+เพชรบุรี!M497+ระยอง!M497+ราชบุรี!M497+ลพบุรี!M497+สระแก้ว!M497+สระบุรี!M497+สิงห์บุรี!M497+สุพรรณบุรี!M497+อ่างทอง!M497</f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f>กาญจนบุรี!M498+จันทบุรี!M498+ฉะเชิงเทรา!M498+ชลบุรี!M498+ชัยนาท!M498+ตราด!M498+นครนายก!M498+นครปฐม!M498+ปทุมธานี!M498+ประจวบคีรีขันธ์!M498+ปราจีนบุรี!M498+พระนครศรีอยุธยา!M498+เพชรบุรี!M498+ระยอง!M498+ราชบุรี!M498+ลพบุรี!M498+สระแก้ว!M498+สระบุรี!M498+สิงห์บุรี!M498+สุพรรณบุรี!M498+อ่างทอง!M498</f>
        <v>9510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f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4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f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8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f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f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47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1632</v>
      </c>
      <c r="J504" s="47">
        <f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0</v>
      </c>
      <c r="K504" s="48">
        <f ca="1">IF(I504&gt;0,J504*100/I504,0)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f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132.91999999999999</v>
      </c>
      <c r="K505" s="48">
        <f ca="1">+J505*100/I504</f>
        <v>8.1446078431372531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f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123.04</v>
      </c>
      <c r="K506" s="48">
        <f ca="1">+J506*100/I504</f>
        <v>7.5392156862745097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f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48">
        <f ca="1">+J507*100/I504</f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f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0</v>
      </c>
      <c r="K508" s="48">
        <f ca="1">+J508*100/I504</f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f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0</v>
      </c>
      <c r="K509" s="48">
        <f ca="1">+J509*100/I504</f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v>0</v>
      </c>
      <c r="J510" s="66">
        <f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0</v>
      </c>
      <c r="K510" s="48">
        <f ca="1">+J510*100/I504</f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f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0</v>
      </c>
      <c r="K511" s="48">
        <f ca="1">+J511*100/I504</f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f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48">
        <f ca="1">+J512*100/I504</f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47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2051</v>
      </c>
      <c r="J513" s="47">
        <f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48">
        <f ca="1">IF(I513&gt;0,J513*100/I513,0)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66">
        <v>0</v>
      </c>
      <c r="J514" s="47">
        <f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0</v>
      </c>
      <c r="K514" s="48">
        <f ca="1">IF(I513&gt;0,J514*100/I513,0)</f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f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0</v>
      </c>
      <c r="K515" s="48">
        <f ca="1">IF(I513&gt;0,J515*100/I513,0)</f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f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48">
        <f ca="1">IF(I513&gt;0,J516*100/I513,0)</f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v>0</v>
      </c>
      <c r="J517" s="66">
        <f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48">
        <f ca="1">IF(I513&gt;0,J517*100/I513,0)</f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f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48">
        <f ca="1">IF(I513&gt;0,J518*100/I513,0)</f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f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48">
        <f ca="1">IF(I513&gt;0,J519*100/I513,0)</f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96557254.699999988</v>
      </c>
      <c r="J521" s="199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169093.05</v>
      </c>
      <c r="K521" s="200">
        <f t="shared" ref="K521:K528" ca="1" si="46">IF(I521&gt;0,J521*100/I521,0)</f>
        <v>0.17512205636476119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3830</v>
      </c>
      <c r="J522" s="199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21</v>
      </c>
      <c r="K522" s="200">
        <f t="shared" ca="1" si="46"/>
        <v>0.54830287206266315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133700232.17999978</v>
      </c>
      <c r="J523" s="199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933630.11999999988</v>
      </c>
      <c r="K523" s="200">
        <f t="shared" ca="1" si="46"/>
        <v>0.69830104613659871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3770</v>
      </c>
      <c r="J524" s="199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250</v>
      </c>
      <c r="K524" s="200">
        <f t="shared" ca="1" si="46"/>
        <v>6.6312997347480103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40682814.210000001</v>
      </c>
      <c r="J525" s="199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1160820.1400000001</v>
      </c>
      <c r="K525" s="200">
        <f t="shared" ca="1" si="46"/>
        <v>2.8533427751776963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8350</v>
      </c>
      <c r="J526" s="199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278</v>
      </c>
      <c r="K526" s="200">
        <f t="shared" ca="1" si="46"/>
        <v>3.3293413173652695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92475000</v>
      </c>
      <c r="J527" s="199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0</v>
      </c>
      <c r="K527" s="200">
        <f t="shared" ca="1" si="4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2690</v>
      </c>
      <c r="J528" s="324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0</v>
      </c>
      <c r="K528" s="347">
        <f t="shared" ca="1" si="4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8" fitToHeight="0" orientation="portrait" r:id="rId1"/>
  <headerFooter>
    <oddHeader>&amp;R</oddHeader>
    <oddFooter>&amp;Lหน้า &amp;P/&amp;N&amp;R&amp;F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231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1315605</v>
      </c>
      <c r="M6" s="16">
        <f t="shared" si="0"/>
        <v>69625</v>
      </c>
      <c r="N6" s="17">
        <f ca="1">IF(L6&gt;0,M6*100/L6,0)</f>
        <v>5.2922419723245202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IFERROR(__xludf.DUMMYFUNCTION("IMPORTRANGE(""https://docs.google.com/spreadsheets/d/1C3CXT74ZlgGe6_JY_1olB1XN4rF0dxEuIIF-xsYjHgg/edit?usp=sharing"",""พรบ!C67"")"),0)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IFERROR(__xludf.DUMMYFUNCTION("IMPORTRANGE(""https://docs.google.com/spreadsheets/d/1C3CXT74ZlgGe6_JY_1olB1XN4rF0dxEuIIF-xsYjHgg/edit?usp=sharing"",""พรบ!D67"")"),0)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IFERROR(__xludf.DUMMYFUNCTION("IMPORTRANGE(""https://docs.google.com/spreadsheets/d/1C3CXT74ZlgGe6_JY_1olB1XN4rF0dxEuIIF-xsYjHgg/edit?usp=sharing"",""พรบ!E67"")"),0)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IFERROR(__xludf.DUMMYFUNCTION("IMPORTRANGE(""https://docs.google.com/spreadsheets/d/1C3CXT74ZlgGe6_JY_1olB1XN4rF0dxEuIIF-xsYjHgg/edit?usp=sharing"",""พรบ!H67"")"),0)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IFERROR(__xludf.DUMMYFUNCTION("IMPORTRANGE(""https://docs.google.com/spreadsheets/d/1C3CXT74ZlgGe6_JY_1olB1XN4rF0dxEuIIF-xsYjHgg/edit?usp=sharing"",""พรบ!I67"")"),0)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IFERROR(__xludf.DUMMYFUNCTION("IMPORTRANGE(""https://docs.google.com/spreadsheets/d/1C3CXT74ZlgGe6_JY_1olB1XN4rF0dxEuIIF-xsYjHgg/edit?usp=sharing"",""พรบ!J67"")"),0)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IFERROR(__xludf.DUMMYFUNCTION("IMPORTRANGE(""https://docs.google.com/spreadsheets/d/1C3CXT74ZlgGe6_JY_1olB1XN4rF0dxEuIIF-xsYjHgg/edit?usp=sharing"",""พรบ!K67"")"),0)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IFERROR(__xludf.DUMMYFUNCTION("IMPORTRANGE(""https://docs.google.com/spreadsheets/d/1C3CXT74ZlgGe6_JY_1olB1XN4rF0dxEuIIF-xsYjHgg/edit?usp=sharing"",""พรบ!L67"")"),0)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IFERROR(__xludf.DUMMYFUNCTION("IMPORTRANGE(""https://docs.google.com/spreadsheets/d/1C3CXT74ZlgGe6_JY_1olB1XN4rF0dxEuIIF-xsYjHgg/edit?usp=sharing"",""พรบ!M67"")"),0)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IFERROR(__xludf.DUMMYFUNCTION("IMPORTRANGE(""https://docs.google.com/spreadsheets/d/1C3CXT74ZlgGe6_JY_1olB1XN4rF0dxEuIIF-xsYjHgg/edit?usp=sharing"",""พรบ!N67"")"),0)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66"/>
      <c r="K34" s="232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66"/>
      <c r="K35" s="232"/>
      <c r="L35" s="52">
        <f ca="1">IFERROR(__xludf.DUMMYFUNCTION("IMPORTRANGE(""https://docs.google.com/spreadsheets/d/1C3CXT74ZlgGe6_JY_1olB1XN4rF0dxEuIIF-xsYjHgg/edit?usp=sharing"",""พรบ!O67"")"),0)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66"/>
      <c r="K36" s="232"/>
      <c r="L36" s="52">
        <f ca="1">IFERROR(__xludf.DUMMYFUNCTION("IMPORTRANGE(""https://docs.google.com/spreadsheets/d/1C3CXT74ZlgGe6_JY_1olB1XN4rF0dxEuIIF-xsYjHgg/edit?usp=sharing"",""พรบ!P67"")"),0)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IFERROR(__xludf.DUMMYFUNCTION("IMPORTRANGE(""https://docs.google.com/spreadsheets/d/1C3CXT74ZlgGe6_JY_1olB1XN4rF0dxEuIIF-xsYjHgg/edit?usp=sharing"",""พรบ!Q67"")"),0)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52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52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52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52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52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IFERROR(__xludf.DUMMYFUNCTION("IMPORTRANGE(""https://docs.google.com/spreadsheets/d/1C3CXT74ZlgGe6_JY_1olB1XN4rF0dxEuIIF-xsYjHgg/edit?usp=sharing"",""พรบ!R67"")"),0)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52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IFERROR(__xludf.DUMMYFUNCTION("IMPORTRANGE(""https://docs.google.com/spreadsheets/d/1C3CXT74ZlgGe6_JY_1olB1XN4rF0dxEuIIF-xsYjHgg/edit?usp=sharing"",""พรบ!S67"")"),0)</f>
        <v>0</v>
      </c>
      <c r="J44" s="66">
        <v>0</v>
      </c>
      <c r="K44" s="232">
        <f t="shared" ca="1" si="11"/>
        <v>0</v>
      </c>
      <c r="L44" s="52"/>
      <c r="M44" s="52"/>
      <c r="N44" s="52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IFERROR(__xludf.DUMMYFUNCTION("IMPORTRANGE(""https://docs.google.com/spreadsheets/d/1C3CXT74ZlgGe6_JY_1olB1XN4rF0dxEuIIF-xsYjHgg/edit?usp=sharing"",""พรบ!T67"")"),0)</f>
        <v>0</v>
      </c>
      <c r="J45" s="66">
        <v>0</v>
      </c>
      <c r="K45" s="232">
        <f t="shared" ca="1" si="11"/>
        <v>0</v>
      </c>
      <c r="L45" s="52"/>
      <c r="M45" s="52"/>
      <c r="N45" s="52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IFERROR(__xludf.DUMMYFUNCTION("IMPORTRANGE(""https://docs.google.com/spreadsheets/d/1C3CXT74ZlgGe6_JY_1olB1XN4rF0dxEuIIF-xsYjHgg/edit?usp=sharing"",""พรบ!U67"")"),0)</f>
        <v>0</v>
      </c>
      <c r="J46" s="66">
        <v>0</v>
      </c>
      <c r="K46" s="232">
        <f t="shared" ca="1" si="11"/>
        <v>0</v>
      </c>
      <c r="L46" s="52"/>
      <c r="M46" s="52"/>
      <c r="N46" s="52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IFERROR(__xludf.DUMMYFUNCTION("IMPORTRANGE(""https://docs.google.com/spreadsheets/d/1C3CXT74ZlgGe6_JY_1olB1XN4rF0dxEuIIF-xsYjHgg/edit?usp=sharing"",""พรบ!V67"")"),0)</f>
        <v>0</v>
      </c>
      <c r="J47" s="66">
        <v>0</v>
      </c>
      <c r="K47" s="232">
        <f t="shared" ca="1" si="11"/>
        <v>0</v>
      </c>
      <c r="L47" s="52"/>
      <c r="M47" s="52"/>
      <c r="N47" s="52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IFERROR(__xludf.DUMMYFUNCTION("IMPORTRANGE(""https://docs.google.com/spreadsheets/d/1C3CXT74ZlgGe6_JY_1olB1XN4rF0dxEuIIF-xsYjHgg/edit?usp=sharing"",""พรบ!W67"")"),0)</f>
        <v>0</v>
      </c>
      <c r="J48" s="66">
        <v>0</v>
      </c>
      <c r="K48" s="232">
        <f t="shared" ca="1" si="11"/>
        <v>0</v>
      </c>
      <c r="L48" s="52"/>
      <c r="M48" s="52"/>
      <c r="N48" s="52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52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52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66"/>
      <c r="K53" s="232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66"/>
      <c r="K54" s="232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66"/>
      <c r="K55" s="232"/>
      <c r="L55" s="52">
        <f ca="1">IFERROR(__xludf.DUMMYFUNCTION("IMPORTRANGE(""https://docs.google.com/spreadsheets/d/1C3CXT74ZlgGe6_JY_1olB1XN4rF0dxEuIIF-xsYjHgg/edit?usp=sharing"",""พรบ!Y67"")"),0)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IFERROR(__xludf.DUMMYFUNCTION("IMPORTRANGE(""https://docs.google.com/spreadsheets/d/1C3CXT74ZlgGe6_JY_1olB1XN4rF0dxEuIIF-xsYjHgg/edit?usp=sharing"",""พรบ!Z67"")"),0)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52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52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52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52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52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IFERROR(__xludf.DUMMYFUNCTION("IMPORTRANGE(""https://docs.google.com/spreadsheets/d/1C3CXT74ZlgGe6_JY_1olB1XN4rF0dxEuIIF-xsYjHgg/edit?usp=sharing"",""พรบ!AA67"")"),0)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52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52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52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359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30</v>
      </c>
      <c r="J68" s="136">
        <f t="shared" si="15"/>
        <v>30</v>
      </c>
      <c r="K68" s="137">
        <f ca="1">IF(I68&gt;0,J68*100/I68,0)</f>
        <v>100</v>
      </c>
      <c r="L68" s="138">
        <f t="shared" ref="L68:M68" ca="1" si="16">SUM(L70:L71)</f>
        <v>668300</v>
      </c>
      <c r="M68" s="138">
        <f t="shared" si="16"/>
        <v>48500</v>
      </c>
      <c r="N68" s="137">
        <f ca="1">IF(L68&gt;0,M68*100/L68,0)</f>
        <v>7.2572198114619182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668300</v>
      </c>
      <c r="M71" s="139">
        <f>SUM(M72:M73)</f>
        <v>48500</v>
      </c>
      <c r="N71" s="49">
        <f t="shared" ca="1" si="17"/>
        <v>7.2572198114619182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IFERROR(__xludf.DUMMYFUNCTION("IMPORTRANGE(""https://docs.google.com/spreadsheets/d/1C3CXT74ZlgGe6_JY_1olB1XN4rF0dxEuIIF-xsYjHgg/edit?usp=sharing"",""พรบ!AD67"")"),448300)</f>
        <v>448300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220000</v>
      </c>
      <c r="M73" s="52">
        <f t="shared" si="18"/>
        <v>48500</v>
      </c>
      <c r="N73" s="52">
        <f t="shared" ca="1" si="17"/>
        <v>22.045454545454547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1</v>
      </c>
      <c r="K74" s="146">
        <f ca="1">IF(I74&gt;0,J74*100/I74,0)</f>
        <v>25</v>
      </c>
      <c r="L74" s="147">
        <f ca="1">L75+L76</f>
        <v>7500</v>
      </c>
      <c r="M74" s="147">
        <f>SUM(M75:M76)</f>
        <v>500</v>
      </c>
      <c r="N74" s="147">
        <f t="shared" ca="1" si="17"/>
        <v>6.666666666666667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500</v>
      </c>
      <c r="N76" s="49">
        <f t="shared" ca="1" si="17"/>
        <v>6.666666666666667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IFERROR(__xludf.DUMMYFUNCTION("IMPORTRANGE(""https://docs.google.com/spreadsheets/d/1C3CXT74ZlgGe6_JY_1olB1XN4rF0dxEuIIF-xsYjHgg/edit?usp=sharing"",""พรบ!AF67"")"),7500)</f>
        <v>7500</v>
      </c>
      <c r="M77" s="53">
        <v>500</v>
      </c>
      <c r="N77" s="52">
        <f t="shared" ca="1" si="17"/>
        <v>6.666666666666667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1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IFERROR(__xludf.DUMMYFUNCTION("IMPORTRANGE(""https://docs.google.com/spreadsheets/d/1C3CXT74ZlgGe6_JY_1olB1XN4rF0dxEuIIF-xsYjHgg/edit?usp=sharing"",""พรบ!AG67"")"),4)</f>
        <v>4</v>
      </c>
      <c r="J83" s="67">
        <v>1</v>
      </c>
      <c r="K83" s="48">
        <f ca="1">IF(I83&gt;0,J83*100/I83,0)</f>
        <v>25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41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41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IFERROR(__xludf.DUMMYFUNCTION("IMPORTRANGE(""https://docs.google.com/spreadsheets/d/1C3CXT74ZlgGe6_JY_1olB1XN4rF0dxEuIIF-xsYjHgg/edit?usp=sharing"",""พรบ!AH67"")"),14000)</f>
        <v>14000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IFERROR(__xludf.DUMMYFUNCTION("IMPORTRANGE(""https://docs.google.com/spreadsheets/d/1C3CXT74ZlgGe6_JY_1olB1XN4rF0dxEuIIF-xsYjHgg/edit?usp=sharing"",""พรบ!AI67"")"),1)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IFERROR(__xludf.DUMMYFUNCTION("IMPORTRANGE(""https://docs.google.com/spreadsheets/d/1C3CXT74ZlgGe6_JY_1olB1XN4rF0dxEuIIF-xsYjHgg/edit?usp=sharing"",""กปร!C67"")"),12000)</f>
        <v>12000</v>
      </c>
      <c r="M98" s="53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IFERROR(__xludf.DUMMYFUNCTION("IMPORTRANGE(""https://docs.google.com/spreadsheets/d/1C3CXT74ZlgGe6_JY_1olB1XN4rF0dxEuIIF-xsYjHgg/edit?usp=sharing"",""พรบ!AJ67"")"),0)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IFERROR(__xludf.DUMMYFUNCTION("IMPORTRANGE(""https://docs.google.com/spreadsheets/d/1C3CXT74ZlgGe6_JY_1olB1XN4rF0dxEuIIF-xsYjHgg/edit?usp=sharing"",""พรบ!AK67"")"),0)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IFERROR(__xludf.DUMMYFUNCTION("IMPORTRANGE(""https://docs.google.com/spreadsheets/d/1C3CXT74ZlgGe6_JY_1olB1XN4rF0dxEuIIF-xsYjHgg/edit?usp=sharing"",""กปร!D67"")"),0)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IFERROR(__xludf.DUMMYFUNCTION("IMPORTRANGE(""https://docs.google.com/spreadsheets/d/1C3CXT74ZlgGe6_JY_1olB1XN4rF0dxEuIIF-xsYjHgg/edit?usp=sharing"",""พรบ!AL67"")"),0)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IFERROR(__xludf.DUMMYFUNCTION("IMPORTRANGE(""https://docs.google.com/spreadsheets/d/1C3CXT74ZlgGe6_JY_1olB1XN4rF0dxEuIIF-xsYjHgg/edit?usp=sharing"",""กปร!E67"")"),0)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7500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IFERROR(__xludf.DUMMYFUNCTION("IMPORTRANGE(""https://docs.google.com/spreadsheets/d/1C3CXT74ZlgGe6_JY_1olB1XN4rF0dxEuIIF-xsYjHgg/edit?usp=sharing"",""พรบ!AM67"")"),7500)</f>
        <v>7500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IFERROR(__xludf.DUMMYFUNCTION("IMPORTRANGE(""https://docs.google.com/spreadsheets/d/1C3CXT74ZlgGe6_JY_1olB1XN4rF0dxEuIIF-xsYjHgg/edit?usp=sharing"",""พรบ!AO67"")"),20000)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IFERROR(__xludf.DUMMYFUNCTION("IMPORTRANGE(""https://docs.google.com/spreadsheets/d/1C3CXT74ZlgGe6_JY_1olB1XN4rF0dxEuIIF-xsYjHgg/edit?usp=sharing"",""พรบ!AP67"")"),20000)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IFERROR(__xludf.DUMMYFUNCTION("IMPORTRANGE(""https://docs.google.com/spreadsheets/d/1C3CXT74ZlgGe6_JY_1olB1XN4rF0dxEuIIF-xsYjHgg/edit?usp=sharing"",""กปร!F67"")"),3500)</f>
        <v>3500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IFERROR(__xludf.DUMMYFUNCTION("IMPORTRANGE(""https://docs.google.com/spreadsheets/d/1C3CXT74ZlgGe6_JY_1olB1XN4rF0dxEuIIF-xsYjHgg/edit?usp=sharing"",""พรบ!AQ67"")"),0)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IFERROR(__xludf.DUMMYFUNCTION("IMPORTRANGE(""https://docs.google.com/spreadsheets/d/1C3CXT74ZlgGe6_JY_1olB1XN4rF0dxEuIIF-xsYjHgg/edit?usp=sharing"",""กปร!G67"")"),0)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229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30</v>
      </c>
      <c r="J129" s="149">
        <f t="shared" si="32"/>
        <v>30</v>
      </c>
      <c r="K129" s="150">
        <f ca="1">IF(I129&gt;0,J129*100/I129,0)</f>
        <v>100</v>
      </c>
      <c r="L129" s="147">
        <f ca="1">L130+L131</f>
        <v>191000</v>
      </c>
      <c r="M129" s="147">
        <f>SUM(M130:M131)</f>
        <v>48000</v>
      </c>
      <c r="N129" s="147">
        <f t="shared" ref="N129:N132" ca="1" si="33">+IF(L129&gt;0,M129*100/L129,0)</f>
        <v>25.130890052356023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191000</v>
      </c>
      <c r="M131" s="49">
        <f>M132</f>
        <v>48000</v>
      </c>
      <c r="N131" s="49">
        <f t="shared" ca="1" si="33"/>
        <v>25.130890052356023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IFERROR(__xludf.DUMMYFUNCTION("IMPORTRANGE(""https://docs.google.com/spreadsheets/d/1C3CXT74ZlgGe6_JY_1olB1XN4rF0dxEuIIF-xsYjHgg/edit?usp=sharing"",""พรบ!AR67"")"),191000)</f>
        <v>191000</v>
      </c>
      <c r="M132" s="53">
        <v>48000</v>
      </c>
      <c r="N132" s="52">
        <f t="shared" ca="1" si="33"/>
        <v>25.130890052356023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1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1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IFERROR(__xludf.DUMMYFUNCTION("IMPORTRANGE(""https://docs.google.com/spreadsheets/d/1C3CXT74ZlgGe6_JY_1olB1XN4rF0dxEuIIF-xsYjHgg/edit?usp=sharing"",""พรบ!AS67"")"),30)</f>
        <v>30</v>
      </c>
      <c r="J138" s="67">
        <v>30</v>
      </c>
      <c r="K138" s="48">
        <f ca="1">IF(I138&gt;0,J138*100/I138,0)</f>
        <v>100</v>
      </c>
      <c r="L138" s="52">
        <f ca="1">IFERROR(__xludf.DUMMYFUNCTION("IMPORTRANGE(""https://docs.google.com/spreadsheets/d/1C3CXT74ZlgGe6_JY_1olB1XN4rF0dxEuIIF-xsYjHgg/edit?usp=sharing"",""กปร!H67"")"),37000)</f>
        <v>37000</v>
      </c>
      <c r="M138" s="361">
        <v>37000</v>
      </c>
      <c r="N138" s="52">
        <f ca="1">+IF(L138&gt;0,M138*100/L138,0)</f>
        <v>100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IFERROR(__xludf.DUMMYFUNCTION("IMPORTRANGE(""https://docs.google.com/spreadsheets/d/1C3CXT74ZlgGe6_JY_1olB1XN4rF0dxEuIIF-xsYjHgg/edit?usp=sharing"",""พรบ!AT67"")"),1)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IFERROR(__xludf.DUMMYFUNCTION("IMPORTRANGE(""https://docs.google.com/spreadsheets/d/1C3CXT74ZlgGe6_JY_1olB1XN4rF0dxEuIIF-xsYjHgg/edit?usp=sharing"",""กปร!I67"")"),0)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IFERROR(__xludf.DUMMYFUNCTION("IMPORTRANGE(""https://docs.google.com/spreadsheets/d/1C3CXT74ZlgGe6_JY_1olB1XN4rF0dxEuIIF-xsYjHgg/edit?usp=sharing"",""พรบ!AU67"")"),0)</f>
        <v>0</v>
      </c>
      <c r="J141" s="66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IFERROR(__xludf.DUMMYFUNCTION("IMPORTRANGE(""https://docs.google.com/spreadsheets/d/1C3CXT74ZlgGe6_JY_1olB1XN4rF0dxEuIIF-xsYjHgg/edit?usp=sharing"",""กปร!J67"")"),0)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15</v>
      </c>
      <c r="K144" s="137">
        <f ca="1">IF(I144&gt;0,J144*100/I144,0)</f>
        <v>100</v>
      </c>
      <c r="L144" s="138">
        <f ca="1">L145+L146</f>
        <v>21125</v>
      </c>
      <c r="M144" s="138">
        <f>SUM(M145:M146)</f>
        <v>21125</v>
      </c>
      <c r="N144" s="137">
        <f ca="1">IF(L144&gt;0,M144*100/L144,0)</f>
        <v>100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21125</v>
      </c>
      <c r="N146" s="49">
        <f t="shared" ca="1" si="37"/>
        <v>100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IFERROR(__xludf.DUMMYFUNCTION("IMPORTRANGE(""https://docs.google.com/spreadsheets/d/1C3CXT74ZlgGe6_JY_1olB1XN4rF0dxEuIIF-xsYjHgg/edit?usp=sharing"",""พรบ!AY67"")"),21125)</f>
        <v>21125</v>
      </c>
      <c r="M148" s="53">
        <v>21125</v>
      </c>
      <c r="N148" s="52">
        <f t="shared" ca="1" si="37"/>
        <v>100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15</v>
      </c>
      <c r="K149" s="137">
        <f ca="1">IF(I149&gt;0,J149*100/I149,0)</f>
        <v>100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IFERROR(__xludf.DUMMYFUNCTION("IMPORTRANGE(""https://docs.google.com/spreadsheets/d/1C3CXT74ZlgGe6_JY_1olB1XN4rF0dxEuIIF-xsYjHgg/edit?usp=sharing"",""พรบ!BA67"")"),15)</f>
        <v>15</v>
      </c>
      <c r="J155" s="67">
        <v>15</v>
      </c>
      <c r="K155" s="48">
        <f ca="1">IF(I155&gt;0,J155*100/I155,0)</f>
        <v>100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IFERROR(__xludf.DUMMYFUNCTION("IMPORTRANGE(""https://docs.google.com/spreadsheets/d/1C3CXT74ZlgGe6_JY_1olB1XN4rF0dxEuIIF-xsYjHgg/edit?usp=sharing"",""พรบ!BD67"")"),0)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IFERROR(__xludf.DUMMYFUNCTION("IMPORTRANGE(""https://docs.google.com/spreadsheets/d/1C3CXT74ZlgGe6_JY_1olB1XN4rF0dxEuIIF-xsYjHgg/edit?usp=sharing"",""พรบ!BE67"")"),0)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IFERROR(__xludf.DUMMYFUNCTION("IMPORTRANGE(""https://docs.google.com/spreadsheets/d/1C3CXT74ZlgGe6_JY_1olB1XN4rF0dxEuIIF-xsYjHgg/edit?usp=sharing"",""พรบ!BF67"")"),0)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IFERROR(__xludf.DUMMYFUNCTION("IMPORTRANGE(""https://docs.google.com/spreadsheets/d/1C3CXT74ZlgGe6_JY_1olB1XN4rF0dxEuIIF-xsYjHgg/edit?usp=sharing"",""พรบ!BG67"")"),0)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IFERROR(__xludf.DUMMYFUNCTION("IMPORTRANGE(""https://docs.google.com/spreadsheets/d/1C3CXT74ZlgGe6_JY_1olB1XN4rF0dxEuIIF-xsYjHgg/edit?usp=sharing"",""พรบ!BH67"")"),0)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IFERROR(__xludf.DUMMYFUNCTION("IMPORTRANGE(""https://docs.google.com/spreadsheets/d/1C3CXT74ZlgGe6_JY_1olB1XN4rF0dxEuIIF-xsYjHgg/edit?usp=sharing"",""พรบ!BI67"")"),0)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IFERROR(__xludf.DUMMYFUNCTION("IMPORTRANGE(""https://docs.google.com/spreadsheets/d/1C3CXT74ZlgGe6_JY_1olB1XN4rF0dxEuIIF-xsYjHgg/edit?usp=sharing"",""พรบ!BK67"")"),0)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IFERROR(__xludf.DUMMYFUNCTION("IMPORTRANGE(""https://docs.google.com/spreadsheets/d/1C3CXT74ZlgGe6_JY_1olB1XN4rF0dxEuIIF-xsYjHgg/edit?usp=sharing"",""พรบ!BL67"")"),55200)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IFERROR(__xludf.DUMMYFUNCTION("IMPORTRANGE(""https://docs.google.com/spreadsheets/d/1C3CXT74ZlgGe6_JY_1olB1XN4rF0dxEuIIF-xsYjHgg/edit?usp=sharing"",""พรบ!BM67"")"),15)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IFERROR(__xludf.DUMMYFUNCTION("IMPORTRANGE(""https://docs.google.com/spreadsheets/d/1C3CXT74ZlgGe6_JY_1olB1XN4rF0dxEuIIF-xsYjHgg/edit?usp=sharing"",""พรบ!BP67"")"),0)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IFERROR(__xludf.DUMMYFUNCTION("IMPORTRANGE(""https://docs.google.com/spreadsheets/d/1C3CXT74ZlgGe6_JY_1olB1XN4rF0dxEuIIF-xsYjHgg/edit?usp=sharing"",""พรบ!BQ67"")"),0)</f>
        <v>0</v>
      </c>
      <c r="J209" s="66">
        <v>0</v>
      </c>
      <c r="K209" s="232">
        <f>IF(I679&gt;0,J679*100/I679,0)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IFERROR(__xludf.DUMMYFUNCTION("IMPORTRANGE(""https://docs.google.com/spreadsheets/d/1C3CXT74ZlgGe6_JY_1olB1XN4rF0dxEuIIF-xsYjHgg/edit?usp=sharing"",""พรบ!BR67"")"),0)</f>
        <v>0</v>
      </c>
      <c r="J211" s="66">
        <v>0</v>
      </c>
      <c r="K211" s="232">
        <f>IF(I681&gt;0,J681*100/I681,0)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IFERROR(__xludf.DUMMYFUNCTION("IMPORTRANGE(""https://docs.google.com/spreadsheets/d/1C3CXT74ZlgGe6_JY_1olB1XN4rF0dxEuIIF-xsYjHgg/edit?usp=sharing"",""พรบ!BU67"")"),0)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IFERROR(__xludf.DUMMYFUNCTION("IMPORTRANGE(""https://docs.google.com/spreadsheets/d/1C3CXT74ZlgGe6_JY_1olB1XN4rF0dxEuIIF-xsYjHgg/edit?usp=sharing"",""พรบ!BV67"")"),0)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570980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570980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IFERROR(__xludf.DUMMYFUNCTION("IMPORTRANGE(""https://docs.google.com/spreadsheets/d/1C3CXT74ZlgGe6_JY_1olB1XN4rF0dxEuIIF-xsYjHgg/edit?usp=sharing"",""พรบ!BX67"")"),388800)</f>
        <v>388800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IFERROR(__xludf.DUMMYFUNCTION("IMPORTRANGE(""https://docs.google.com/spreadsheets/d/1C3CXT74ZlgGe6_JY_1olB1XN4rF0dxEuIIF-xsYjHgg/edit?usp=sharing"",""พรบ!BY67"")"),182180)</f>
        <v>182180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IFERROR(__xludf.DUMMYFUNCTION("IMPORTRANGE(""https://docs.google.com/spreadsheets/d/1AGHcLOeeYFL3K4b9R1dSzyJy00PE_ra89DNTVfnxSWM/edit?usp=sharing"",""รวมที่ทำกิน!J56"")"),0)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IFERROR(__xludf.DUMMYFUNCTION("IMPORTRANGE(""https://docs.google.com/spreadsheets/d/1C3CXT74ZlgGe6_JY_1olB1XN4rF0dxEuIIF-xsYjHgg/edit?usp=sharing"",""พรบ!BZ67"")"),0)</f>
        <v>0</v>
      </c>
      <c r="J235" s="66">
        <f ca="1">IFERROR(__xludf.DUMMYFUNCTION("IMPORTRANGE(""https://docs.google.com/spreadsheets/d/1AGHcLOeeYFL3K4b9R1dSzyJy00PE_ra89DNTVfnxSWM/edit?usp=sharing"",""รวมที่ทำกิน!L56"")"),0)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IFERROR(__xludf.DUMMYFUNCTION("IMPORTRANGE(""https://docs.google.com/spreadsheets/d/1C3CXT74ZlgGe6_JY_1olB1XN4rF0dxEuIIF-xsYjHgg/edit?usp=sharing"",""พรบ!CA67"")"),0)</f>
        <v>0</v>
      </c>
      <c r="J236" s="66">
        <f ca="1">IFERROR(__xludf.DUMMYFUNCTION("IMPORTRANGE(""https://docs.google.com/spreadsheets/d/1AGHcLOeeYFL3K4b9R1dSzyJy00PE_ra89DNTVfnxSWM/edit?usp=sharing"",""รวมที่ทำกิน!O56"")"),0)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IFERROR(__xludf.DUMMYFUNCTION("IMPORTRANGE(""https://docs.google.com/spreadsheets/d/1AGHcLOeeYFL3K4b9R1dSzyJy00PE_ra89DNTVfnxSWM/edit?usp=sharing"",""รวมที่ทำกิน!Q56"")"),0)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IFERROR(__xludf.DUMMYFUNCTION("IMPORTRANGE(""https://docs.google.com/spreadsheets/d/1C3CXT74ZlgGe6_JY_1olB1XN4rF0dxEuIIF-xsYjHgg/edit?usp=sharing"",""พรบ!CB67"")"),0)</f>
        <v>0</v>
      </c>
      <c r="J238" s="66">
        <f ca="1">IFERROR(__xludf.DUMMYFUNCTION("IMPORTRANGE(""https://docs.google.com/spreadsheets/d/1AGHcLOeeYFL3K4b9R1dSzyJy00PE_ra89DNTVfnxSWM/edit?usp=sharing"",""รวมที่ทำกิน!S56"")"),0)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IFERROR(__xludf.DUMMYFUNCTION("IMPORTRANGE(""https://docs.google.com/spreadsheets/d/1AGHcLOeeYFL3K4b9R1dSzyJy00PE_ra89DNTVfnxSWM/edit?usp=sharing"",""รวมที่ทำกิน!U56"")"),0)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IFERROR(__xludf.DUMMYFUNCTION("IMPORTRANGE(""https://docs.google.com/spreadsheets/d/1C3CXT74ZlgGe6_JY_1olB1XN4rF0dxEuIIF-xsYjHgg/edit?usp=sharing"",""พรบ!CC67"")"),0)</f>
        <v>0</v>
      </c>
      <c r="J240" s="66">
        <f ca="1">IFERROR(__xludf.DUMMYFUNCTION("IMPORTRANGE(""https://docs.google.com/spreadsheets/d/1AGHcLOeeYFL3K4b9R1dSzyJy00PE_ra89DNTVfnxSWM/edit?usp=sharing"",""รวมที่ทำกิน!W56"")"),0)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IFERROR(__xludf.DUMMYFUNCTION("IMPORTRANGE(""https://docs.google.com/spreadsheets/d/1AGHcLOeeYFL3K4b9R1dSzyJy00PE_ra89DNTVfnxSWM/edit?usp=sharing"",""รวมที่ทำกิน!Y56"")"),0)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560890</v>
      </c>
      <c r="M242" s="213">
        <f t="shared" si="53"/>
        <v>110923.02</v>
      </c>
      <c r="N242" s="213">
        <f ca="1">+IF(L242&gt;0,M242*100/L242,0)</f>
        <v>19.776252028026885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12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47160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6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47160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IFERROR(__xludf.DUMMYFUNCTION("IMPORTRANGE(""https://docs.google.com/spreadsheets/d/1C3CXT74ZlgGe6_JY_1olB1XN4rF0dxEuIIF-xsYjHgg/edit?usp=sharing"",""งบกองทุน!d67"")"),0)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IFERROR(__xludf.DUMMYFUNCTION("IMPORTRANGE(""https://docs.google.com/spreadsheets/d/1C3CXT74ZlgGe6_JY_1olB1XN4rF0dxEuIIF-xsYjHgg/edit?usp=sharing"",""งบกองทุน!e67"")"),47160)</f>
        <v>47160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IFERROR(__xludf.DUMMYFUNCTION("IMPORTRANGE(""https://docs.google.com/spreadsheets/d/1C3CXT74ZlgGe6_JY_1olB1XN4rF0dxEuIIF-xsYjHgg/edit?usp=sharing"",""งบกองทุน!f67"")"),0)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12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IFERROR(__xludf.DUMMYFUNCTION("IMPORTRANGE(""https://docs.google.com/spreadsheets/d/1C3CXT74ZlgGe6_JY_1olB1XN4rF0dxEuIIF-xsYjHgg/edit?usp=sharing"",""งบกองทุน!H67"")"),6)</f>
        <v>6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IFERROR(__xludf.DUMMYFUNCTION("IMPORTRANGE(""https://docs.google.com/spreadsheets/d/1C3CXT74ZlgGe6_JY_1olB1XN4rF0dxEuIIF-xsYjHgg/edit?usp=sharing"",""งบกองทุน!i67"")"),0)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6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IFERROR(__xludf.DUMMYFUNCTION("IMPORTRANGE(""https://docs.google.com/spreadsheets/d/1C3CXT74ZlgGe6_JY_1olB1XN4rF0dxEuIIF-xsYjHgg/edit?usp=sharing"",""งบกองทุน!k67"")"),12)</f>
        <v>12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6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IFERROR(__xludf.DUMMYFUNCTION("IMPORTRANGE(""https://docs.google.com/spreadsheets/d/1C3CXT74ZlgGe6_JY_1olB1XN4rF0dxEuIIF-xsYjHgg/edit?usp=sharing"",""งบกองทุน!m67"")"),0)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12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IFERROR(__xludf.DUMMYFUNCTION("IMPORTRANGE(""https://docs.google.com/spreadsheets/d/1C3CXT74ZlgGe6_JY_1olB1XN4rF0dxEuIIF-xsYjHgg/edit?usp=sharing"",""งบกองทุน!o67"")"),12)</f>
        <v>12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IFERROR(__xludf.DUMMYFUNCTION("IMPORTRANGE(""https://docs.google.com/spreadsheets/d/1C3CXT74ZlgGe6_JY_1olB1XN4rF0dxEuIIF-xsYjHgg/edit?usp=sharing"",""งบกองทุน!p67"")"),0)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50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87710</v>
      </c>
      <c r="M275" s="228">
        <f t="shared" si="64"/>
        <v>36279</v>
      </c>
      <c r="N275" s="228">
        <f ca="1">+IF(L275&gt;0,M275*100/L275,0)</f>
        <v>41.362444419108428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5</v>
      </c>
      <c r="J276" s="226">
        <f>+J291</f>
        <v>10</v>
      </c>
      <c r="K276" s="227">
        <f t="shared" ca="1" si="63"/>
        <v>200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87710</v>
      </c>
      <c r="M278" s="49">
        <f t="shared" si="66"/>
        <v>36279</v>
      </c>
      <c r="N278" s="49">
        <f t="shared" ca="1" si="65"/>
        <v>41.362444419108428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IFERROR(__xludf.DUMMYFUNCTION("IMPORTRANGE(""https://docs.google.com/spreadsheets/d/1C3CXT74ZlgGe6_JY_1olB1XN4rF0dxEuIIF-xsYjHgg/edit?usp=sharing"",""งบกองทุน!r67"")"),0)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IFERROR(__xludf.DUMMYFUNCTION("IMPORTRANGE(""https://docs.google.com/spreadsheets/d/1C3CXT74ZlgGe6_JY_1olB1XN4rF0dxEuIIF-xsYjHgg/edit?usp=sharing"",""งบกองทุน!s67"")"),87710)</f>
        <v>87710</v>
      </c>
      <c r="M280" s="52">
        <f>SUM(M281:M284)</f>
        <v>36279</v>
      </c>
      <c r="N280" s="52">
        <f t="shared" ca="1" si="65"/>
        <v>41.362444419108428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34409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1870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IFERROR(__xludf.DUMMYFUNCTION("IMPORTRANGE(""https://docs.google.com/spreadsheets/d/1C3CXT74ZlgGe6_JY_1olB1XN4rF0dxEuIIF-xsYjHgg/edit?usp=sharing"",""งบกองทุน!v67"")"),5)</f>
        <v>5</v>
      </c>
      <c r="J291" s="67">
        <v>10</v>
      </c>
      <c r="K291" s="48">
        <f t="shared" ref="K291:K293" ca="1" si="67">IF(I291&gt;0,J291*100/I291,0)</f>
        <v>200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IFERROR(__xludf.DUMMYFUNCTION("IMPORTRANGE(""https://docs.google.com/spreadsheets/d/1C3CXT74ZlgGe6_JY_1olB1XN4rF0dxEuIIF-xsYjHgg/edit?usp=sharing"",""งบกองทุน!w67"")"),50)</f>
        <v>50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IFERROR(__xludf.DUMMYFUNCTION("IMPORTRANGE(""https://docs.google.com/spreadsheets/d/1C3CXT74ZlgGe6_JY_1olB1XN4rF0dxEuIIF-xsYjHgg/edit?usp=sharing"",""งบกองทุน!x67"")"),5)</f>
        <v>5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135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187300</v>
      </c>
      <c r="M296" s="228">
        <f t="shared" si="69"/>
        <v>1000</v>
      </c>
      <c r="N296" s="228">
        <f ca="1">+IF(L296&gt;0,M296*100/L296,0)</f>
        <v>0.53390282968499736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45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187300</v>
      </c>
      <c r="M299" s="52">
        <f t="shared" si="71"/>
        <v>1000</v>
      </c>
      <c r="N299" s="52">
        <f t="shared" ca="1" si="70"/>
        <v>0.53390282968499736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IFERROR(__xludf.DUMMYFUNCTION("IMPORTRANGE(""https://docs.google.com/spreadsheets/d/1C3CXT74ZlgGe6_JY_1olB1XN4rF0dxEuIIF-xsYjHgg/edit?usp=sharing"",""งบกองทุน!z67"")"),0)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IFERROR(__xludf.DUMMYFUNCTION("IMPORTRANGE(""https://docs.google.com/spreadsheets/d/1C3CXT74ZlgGe6_JY_1olB1XN4rF0dxEuIIF-xsYjHgg/edit?usp=sharing"",""งบกองทุน!aa67"")"),187300)</f>
        <v>187300</v>
      </c>
      <c r="M301" s="52">
        <f>SUM(M302:M305)</f>
        <v>1000</v>
      </c>
      <c r="N301" s="52">
        <f t="shared" ca="1" si="70"/>
        <v>0.53390282968499736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1000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45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IFERROR(__xludf.DUMMYFUNCTION("IMPORTRANGE(""https://docs.google.com/spreadsheets/d/1C3CXT74ZlgGe6_JY_1olB1XN4rF0dxEuIIF-xsYjHgg/edit?usp=sharing"",""งบกองทุน!ae67"")"),10)</f>
        <v>10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IFERROR(__xludf.DUMMYFUNCTION("IMPORTRANGE(""https://docs.google.com/spreadsheets/d/1C3CXT74ZlgGe6_JY_1olB1XN4rF0dxEuIIF-xsYjHgg/edit?usp=sharing"",""งบกองทุน!ad67"")"),30)</f>
        <v>30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IFERROR(__xludf.DUMMYFUNCTION("IMPORTRANGE(""https://docs.google.com/spreadsheets/d/1C3CXT74ZlgGe6_JY_1olB1XN4rF0dxEuIIF-xsYjHgg/edit?usp=sharing"",""งบกองทุน!af67"")"),10)</f>
        <v>10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IFERROR(__xludf.DUMMYFUNCTION("IMPORTRANGE(""https://docs.google.com/spreadsheets/d/1C3CXT74ZlgGe6_JY_1olB1XN4rF0dxEuIIF-xsYjHgg/edit?usp=sharing"",""งบกองทุน!ag67"")"),10)</f>
        <v>10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IFERROR(__xludf.DUMMYFUNCTION("IMPORTRANGE(""https://docs.google.com/spreadsheets/d/1C3CXT74ZlgGe6_JY_1olB1XN4rF0dxEuIIF-xsYjHgg/edit?usp=sharing"",""งบกองทุน!ai67"")"),25)</f>
        <v>25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IFERROR(__xludf.DUMMYFUNCTION("IMPORTRANGE(""https://docs.google.com/spreadsheets/d/1C3CXT74ZlgGe6_JY_1olB1XN4rF0dxEuIIF-xsYjHgg/edit?usp=sharing"",""งบกองทุน!ah67"")"),75)</f>
        <v>75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IFERROR(__xludf.DUMMYFUNCTION("IMPORTRANGE(""https://docs.google.com/spreadsheets/d/1C3CXT74ZlgGe6_JY_1olB1XN4rF0dxEuIIF-xsYjHgg/edit?usp=sharing"",""งบกองทุน!aj67"")"),25)</f>
        <v>25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IFERROR(__xludf.DUMMYFUNCTION("IMPORTRANGE(""https://docs.google.com/spreadsheets/d/1C3CXT74ZlgGe6_JY_1olB1XN4rF0dxEuIIF-xsYjHgg/edit?usp=sharing"",""งบกองทุน!ak67"")"),25)</f>
        <v>25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IFERROR(__xludf.DUMMYFUNCTION("IMPORTRANGE(""https://docs.google.com/spreadsheets/d/1C3CXT74ZlgGe6_JY_1olB1XN4rF0dxEuIIF-xsYjHgg/edit?usp=sharing"",""งบกองทุน!al67"")"),25)</f>
        <v>25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IFERROR(__xludf.DUMMYFUNCTION("IMPORTRANGE(""https://docs.google.com/spreadsheets/d/1C3CXT74ZlgGe6_JY_1olB1XN4rF0dxEuIIF-xsYjHgg/edit?usp=sharing"",""งบกองทุน!an67"")"),10)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IFERROR(__xludf.DUMMYFUNCTION("IMPORTRANGE(""https://docs.google.com/spreadsheets/d/1C3CXT74ZlgGe6_JY_1olB1XN4rF0dxEuIIF-xsYjHgg/edit?usp=sharing"",""งบกองทุน!am67"")"),30)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IFERROR(__xludf.DUMMYFUNCTION("IMPORTRANGE(""https://docs.google.com/spreadsheets/d/1C3CXT74ZlgGe6_JY_1olB1XN4rF0dxEuIIF-xsYjHgg/edit?usp=sharing"",""งบกองทุน!ao67"")"),10)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IFERROR(__xludf.DUMMYFUNCTION("IMPORTRANGE(""https://docs.google.com/spreadsheets/d/1C3CXT74ZlgGe6_JY_1olB1XN4rF0dxEuIIF-xsYjHgg/edit?usp=sharing"",""งบกองทุน!ap67"")"),10)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35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IFERROR(__xludf.DUMMYFUNCTION("IMPORTRANGE(""https://docs.google.com/spreadsheets/d/1C3CXT74ZlgGe6_JY_1olB1XN4rF0dxEuIIF-xsYjHgg/edit?usp=sharing"",""งบกองทุน!ar67"")"),10)</f>
        <v>10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IFERROR(__xludf.DUMMYFUNCTION("IMPORTRANGE(""https://docs.google.com/spreadsheets/d/1C3CXT74ZlgGe6_JY_1olB1XN4rF0dxEuIIF-xsYjHgg/edit?usp=sharing"",""งบกองทุน!as67"")"),25)</f>
        <v>25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10</v>
      </c>
      <c r="K330" s="258">
        <f ca="1">IF(I330&gt;0,J330*100/I330,0)</f>
        <v>100</v>
      </c>
      <c r="L330" s="259">
        <f t="shared" ref="L330:M330" ca="1" si="74">SUM(L331:L332)</f>
        <v>71000</v>
      </c>
      <c r="M330" s="259">
        <f t="shared" si="74"/>
        <v>39257</v>
      </c>
      <c r="N330" s="259">
        <f t="shared" ref="N330:N334" ca="1" si="75">+IF(L330&gt;0,M330*100/L330,0)</f>
        <v>55.291549295774651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39257</v>
      </c>
      <c r="N332" s="52">
        <f t="shared" ca="1" si="75"/>
        <v>55.291549295774651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IFERROR(__xludf.DUMMYFUNCTION("IMPORTRANGE(""https://docs.google.com/spreadsheets/d/1C3CXT74ZlgGe6_JY_1olB1XN4rF0dxEuIIF-xsYjHgg/edit?usp=sharing"",""งบกองทุน!au67"")"),0)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IFERROR(__xludf.DUMMYFUNCTION("IMPORTRANGE(""https://docs.google.com/spreadsheets/d/1C3CXT74ZlgGe6_JY_1olB1XN4rF0dxEuIIF-xsYjHgg/edit?usp=sharing"",""งบกองทุน!av67"")"),71000)</f>
        <v>71000</v>
      </c>
      <c r="M334" s="52">
        <f>SUM(M335:M338)</f>
        <v>39257</v>
      </c>
      <c r="N334" s="52">
        <f t="shared" ca="1" si="75"/>
        <v>55.291549295774651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38257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1000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10</v>
      </c>
      <c r="K344" s="48">
        <f t="shared" ref="K344:K347" ca="1" si="78">IF(I344&gt;0,J344*100/I344,0)</f>
        <v>100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IFERROR(__xludf.DUMMYFUNCTION("IMPORTRANGE(""https://docs.google.com/spreadsheets/d/1C3CXT74ZlgGe6_JY_1olB1XN4rF0dxEuIIF-xsYjHgg/edit?usp=sharing"",""งบกองทุน!ay67"")"),10)</f>
        <v>10</v>
      </c>
      <c r="J345" s="67">
        <v>10</v>
      </c>
      <c r="K345" s="48">
        <f t="shared" ca="1" si="78"/>
        <v>100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IFERROR(__xludf.DUMMYFUNCTION("IMPORTRANGE(""https://docs.google.com/spreadsheets/d/1C3CXT74ZlgGe6_JY_1olB1XN4rF0dxEuIIF-xsYjHgg/edit?usp=sharing"",""งบกองทุน!az67"")"),0)</f>
        <v>0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IFERROR(__xludf.DUMMYFUNCTION("IMPORTRANGE(""https://docs.google.com/spreadsheets/d/1C3CXT74ZlgGe6_JY_1olB1XN4rF0dxEuIIF-xsYjHgg/edit?usp=sharing"",""งบกองทุน!Ba67"")"),0)</f>
        <v>0</v>
      </c>
      <c r="J347" s="67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IFERROR(__xludf.DUMMYFUNCTION("IMPORTRANGE(""https://docs.google.com/spreadsheets/d/1C3CXT74ZlgGe6_JY_1olB1XN4rF0dxEuIIF-xsYjHgg/edit?usp=sharing"",""งบกองทุน!Bc67"")"),0)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IFERROR(__xludf.DUMMYFUNCTION("IMPORTRANGE(""https://docs.google.com/spreadsheets/d/1C3CXT74ZlgGe6_JY_1olB1XN4rF0dxEuIIF-xsYjHgg/edit?usp=sharing"",""งบกองทุน!Bd67"")"),0)</f>
        <v>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2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2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IFERROR(__xludf.DUMMYFUNCTION("IMPORTRANGE(""https://docs.google.com/spreadsheets/d/1C3CXT74ZlgGe6_JY_1olB1XN4rF0dxEuIIF-xsYjHgg/edit?usp=sharing"",""งบกองทุน!BE67"")"),0)</f>
        <v>0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4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IFERROR(__xludf.DUMMYFUNCTION("IMPORTRANGE(""https://docs.google.com/spreadsheets/d/1C3CXT74ZlgGe6_JY_1olB1XN4rF0dxEuIIF-xsYjHgg/edit?usp=sharing"",""งบกองทุน!BE67"")"),0)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IFERROR(__xludf.DUMMYFUNCTION("IMPORTRANGE(""https://docs.google.com/spreadsheets/d/1C3CXT74ZlgGe6_JY_1olB1XN4rF0dxEuIIF-xsYjHgg/edit?usp=sharing"",""งบกองทุน!Bf67"")"),0)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6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6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6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6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6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6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t="shared" ref="I368:I369" ca="1" si="84">I360</f>
        <v>0</v>
      </c>
      <c r="J368" s="78">
        <f t="shared" ref="J368:J369" si="85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t="shared" ca="1" si="84"/>
        <v>0</v>
      </c>
      <c r="J369" s="78">
        <f t="shared" si="85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6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6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6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6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6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6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t="shared" ref="I376:I377" ca="1" si="86">I360</f>
        <v>0</v>
      </c>
      <c r="J376" s="78">
        <f t="shared" ref="J376:J377" si="87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t="shared" ca="1" si="86"/>
        <v>0</v>
      </c>
      <c r="J377" s="78">
        <f t="shared" si="87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6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6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6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6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78">
        <f t="shared" ref="J382:J383" si="88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78">
        <f t="shared" si="88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6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6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6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6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6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6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IFERROR(__xludf.DUMMYFUNCTION("IMPORTRANGE(""https://docs.google.com/spreadsheets/d/1C3CXT74ZlgGe6_JY_1olB1XN4rF0dxEuIIF-xsYjHgg/edit?usp=sharing"",""งบกองทุน!cd67"")"),0)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IFERROR(__xludf.DUMMYFUNCTION("IMPORTRANGE(""https://docs.google.com/spreadsheets/d/1C3CXT74ZlgGe6_JY_1olB1XN4rF0dxEuIIF-xsYjHgg/edit?usp=sharing"",""งบกองทุน!cd67"")"),0)</f>
        <v>0</v>
      </c>
      <c r="J391" s="265">
        <f t="shared" ref="J391:J392" si="89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IFERROR(__xludf.DUMMYFUNCTION("IMPORTRANGE(""https://docs.google.com/spreadsheets/d/1C3CXT74ZlgGe6_JY_1olB1XN4rF0dxEuIIF-xsYjHgg/edit?usp=sharing"",""งบกองทุน!cc67"")"),0)</f>
        <v>0</v>
      </c>
      <c r="J392" s="265">
        <f t="shared" si="89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90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90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6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6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6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6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6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6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66">
        <f t="shared" ref="J401:J402" si="91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66">
        <f t="shared" si="91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6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6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6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6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6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6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IFERROR(__xludf.DUMMYFUNCTION("IMPORTRANGE(""https://docs.google.com/spreadsheets/d/1C3CXT74ZlgGe6_JY_1olB1XN4rF0dxEuIIF-xsYjHgg/edit?usp=sharing"",""งบกองทุน!cz67"")"),0)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IFERROR(__xludf.DUMMYFUNCTION("IMPORTRANGE(""https://docs.google.com/spreadsheets/d/1C3CXT74ZlgGe6_JY_1olB1XN4rF0dxEuIIF-xsYjHgg/edit?usp=sharing"",""งบกองทุน!cz67"")"),0)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IFERROR(__xludf.DUMMYFUNCTION("IMPORTRANGE(""https://docs.google.com/spreadsheets/d/1C3CXT74ZlgGe6_JY_1olB1XN4rF0dxEuIIF-xsYjHgg/edit?usp=sharing"",""งบกองทุน!cy67"")"),0)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IFERROR(__xludf.DUMMYFUNCTION("IMPORTRANGE(""https://docs.google.com/spreadsheets/d/1C3CXT74ZlgGe6_JY_1olB1XN4rF0dxEuIIF-xsYjHgg/edit?usp=sharing"",""งบกองทุน!db67"")"),0)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IFERROR(__xludf.DUMMYFUNCTION("IMPORTRANGE(""https://docs.google.com/spreadsheets/d/1C3CXT74ZlgGe6_JY_1olB1XN4rF0dxEuIIF-xsYjHgg/edit?usp=sharing"",""งบกองทุน!da67"")"),0)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IFERROR(__xludf.DUMMYFUNCTION("IMPORTRANGE(""https://docs.google.com/spreadsheets/d/1C3CXT74ZlgGe6_JY_1olB1XN4rF0dxEuIIF-xsYjHgg/edit?usp=sharing"",""งบกองทุน!dd67"")"),0)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IFERROR(__xludf.DUMMYFUNCTION("IMPORTRANGE(""https://docs.google.com/spreadsheets/d/1C3CXT74ZlgGe6_JY_1olB1XN4rF0dxEuIIF-xsYjHgg/edit?usp=sharing"",""งบกองทุน!dc67"")"),0)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IFERROR(__xludf.DUMMYFUNCTION("IMPORTRANGE(""https://docs.google.com/spreadsheets/d/1C3CXT74ZlgGe6_JY_1olB1XN4rF0dxEuIIF-xsYjHgg/edit?usp=sharing"",""งบกองทุน!df67"")"),0)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IFERROR(__xludf.DUMMYFUNCTION("IMPORTRANGE(""https://docs.google.com/spreadsheets/d/1C3CXT74ZlgGe6_JY_1olB1XN4rF0dxEuIIF-xsYjHgg/edit?usp=sharing"",""งบกองทุน!de67"")"),0)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2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2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22</v>
      </c>
      <c r="K426" s="258">
        <f ca="1">IF(I426&gt;0,J426*100/I426,0)</f>
        <v>100</v>
      </c>
      <c r="L426" s="259">
        <f t="shared" ref="L426:M426" ca="1" si="94">SUM(L427:L428)</f>
        <v>34340</v>
      </c>
      <c r="M426" s="259">
        <f t="shared" si="94"/>
        <v>22527.02</v>
      </c>
      <c r="N426" s="259">
        <f t="shared" ref="N426:N430" ca="1" si="95">+IF(L426&gt;0,M426*100/L426,0)</f>
        <v>65.599941758881769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5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6">SUM(L429:L430)</f>
        <v>34340</v>
      </c>
      <c r="M428" s="52">
        <f t="shared" si="96"/>
        <v>22527.02</v>
      </c>
      <c r="N428" s="52">
        <f t="shared" ca="1" si="95"/>
        <v>65.599941758881769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IFERROR(__xludf.DUMMYFUNCTION("IMPORTRANGE(""https://docs.google.com/spreadsheets/d/1C3CXT74ZlgGe6_JY_1olB1XN4rF0dxEuIIF-xsYjHgg/edit?usp=sharing"",""งบกองทุน!dn67"")"),0)</f>
        <v>0</v>
      </c>
      <c r="M429" s="52">
        <v>0</v>
      </c>
      <c r="N429" s="52">
        <f t="shared" ca="1" si="95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IFERROR(__xludf.DUMMYFUNCTION("IMPORTRANGE(""https://docs.google.com/spreadsheets/d/1C3CXT74ZlgGe6_JY_1olB1XN4rF0dxEuIIF-xsYjHgg/edit?usp=sharing"",""งบกองทุน!do67"")"),34340)</f>
        <v>34340</v>
      </c>
      <c r="M430" s="52">
        <f>SUM(M431:M434)</f>
        <v>22527.02</v>
      </c>
      <c r="N430" s="52">
        <f t="shared" ca="1" si="95"/>
        <v>65.599941758881769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14700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7827.02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IFERROR(__xludf.DUMMYFUNCTION("IMPORTRANGE(""https://docs.google.com/spreadsheets/d/1C3CXT74ZlgGe6_JY_1olB1XN4rF0dxEuIIF-xsYjHgg/edit?usp=sharing"",""งบกองทุน!dq67"")"),22)</f>
        <v>22</v>
      </c>
      <c r="J440" s="67">
        <v>22</v>
      </c>
      <c r="K440" s="48">
        <f t="shared" ref="K440:K441" ca="1" si="97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IFERROR(__xludf.DUMMYFUNCTION("IMPORTRANGE(""https://docs.google.com/spreadsheets/d/1C3CXT74ZlgGe6_JY_1olB1XN4rF0dxEuIIF-xsYjHgg/edit?usp=sharing"",""งบกองทุน!dr67"")"),22)</f>
        <v>22</v>
      </c>
      <c r="J441" s="67">
        <v>0</v>
      </c>
      <c r="K441" s="48">
        <f t="shared" ca="1" si="97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100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1">SUM(L447:L448)</f>
        <v>0</v>
      </c>
      <c r="M446" s="52">
        <f t="shared" si="101"/>
        <v>0</v>
      </c>
      <c r="N446" s="52">
        <f t="shared" ca="1" si="100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IFERROR(__xludf.DUMMYFUNCTION("IMPORTRANGE(""https://docs.google.com/spreadsheets/d/1C3CXT74ZlgGe6_JY_1olB1XN4rF0dxEuIIF-xsYjHgg/edit?usp=sharing"",""งบกองทุน!dt67"")"),0)</f>
        <v>0</v>
      </c>
      <c r="M447" s="52">
        <v>0</v>
      </c>
      <c r="N447" s="52">
        <f t="shared" ca="1" si="100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IFERROR(__xludf.DUMMYFUNCTION("IMPORTRANGE(""https://docs.google.com/spreadsheets/d/1C3CXT74ZlgGe6_JY_1olB1XN4rF0dxEuIIF-xsYjHgg/edit?usp=sharing"",""งบกองทุน!du67"")"),0)</f>
        <v>0</v>
      </c>
      <c r="M448" s="52">
        <f>SUM(M449:M452)</f>
        <v>0</v>
      </c>
      <c r="N448" s="52">
        <f t="shared" ca="1" si="100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IFERROR(__xludf.DUMMYFUNCTION("IMPORTRANGE(""https://docs.google.com/spreadsheets/d/1C3CXT74ZlgGe6_JY_1olB1XN4rF0dxEuIIF-xsYjHgg/edit?usp=sharing"",""งบกองทุน!dw67"")"),0)</f>
        <v>0</v>
      </c>
      <c r="J453" s="66">
        <v>0</v>
      </c>
      <c r="K453" s="232">
        <f t="shared" ref="K453:K457" ca="1" si="102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IFERROR(__xludf.DUMMYFUNCTION("IMPORTRANGE(""https://docs.google.com/spreadsheets/d/1C3CXT74ZlgGe6_JY_1olB1XN4rF0dxEuIIF-xsYjHgg/edit?usp=sharing"",""งบกองทุน!dx67"")"),0)</f>
        <v>0</v>
      </c>
      <c r="J454" s="66">
        <v>0</v>
      </c>
      <c r="K454" s="232">
        <f t="shared" ca="1" si="102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IFERROR(__xludf.DUMMYFUNCTION("IMPORTRANGE(""https://docs.google.com/spreadsheets/d/1C3CXT74ZlgGe6_JY_1olB1XN4rF0dxEuIIF-xsYjHgg/edit?usp=sharing"",""งบกองทุน!dy67"")"),0)</f>
        <v>0</v>
      </c>
      <c r="J455" s="66">
        <v>0</v>
      </c>
      <c r="K455" s="232">
        <f t="shared" ca="1" si="102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IFERROR(__xludf.DUMMYFUNCTION("IMPORTRANGE(""https://docs.google.com/spreadsheets/d/1C3CXT74ZlgGe6_JY_1olB1XN4rF0dxEuIIF-xsYjHgg/edit?usp=sharing"",""งบกองทุน!dz67"")"),0)</f>
        <v>0</v>
      </c>
      <c r="J456" s="66">
        <v>0</v>
      </c>
      <c r="K456" s="48">
        <f t="shared" ca="1" si="102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200</v>
      </c>
      <c r="J457" s="226">
        <f>+J466</f>
        <v>200</v>
      </c>
      <c r="K457" s="227">
        <f t="shared" ca="1" si="102"/>
        <v>100</v>
      </c>
      <c r="L457" s="228">
        <f t="shared" ref="L457:M457" ca="1" si="103">SUM(L458:L459)</f>
        <v>126080</v>
      </c>
      <c r="M457" s="228">
        <f t="shared" si="103"/>
        <v>11000</v>
      </c>
      <c r="N457" s="228">
        <f t="shared" ref="N457:N461" ca="1" si="104">+IF(L457&gt;0,M457*100/L457,0)</f>
        <v>8.7246192893401009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4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5">SUM(L460:L461)</f>
        <v>126080</v>
      </c>
      <c r="M459" s="52">
        <f t="shared" si="105"/>
        <v>11000</v>
      </c>
      <c r="N459" s="52">
        <f t="shared" ca="1" si="104"/>
        <v>8.7246192893401009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IFERROR(__xludf.DUMMYFUNCTION("IMPORTRANGE(""https://docs.google.com/spreadsheets/d/1C3CXT74ZlgGe6_JY_1olB1XN4rF0dxEuIIF-xsYjHgg/edit?usp=sharing"",""งบกองทุน!Eb67"")"),0)</f>
        <v>0</v>
      </c>
      <c r="M460" s="52">
        <v>0</v>
      </c>
      <c r="N460" s="52">
        <f t="shared" ca="1" si="104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IFERROR(__xludf.DUMMYFUNCTION("IMPORTRANGE(""https://docs.google.com/spreadsheets/d/1C3CXT74ZlgGe6_JY_1olB1XN4rF0dxEuIIF-xsYjHgg/edit?usp=sharing"",""งบกองทุน!Ec67"")"),126080)</f>
        <v>126080</v>
      </c>
      <c r="M461" s="52">
        <f>SUM(M462:M465)</f>
        <v>11000</v>
      </c>
      <c r="N461" s="52">
        <f t="shared" ca="1" si="104"/>
        <v>8.7246192893401009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11000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IFERROR(__xludf.DUMMYFUNCTION("IMPORTRANGE(""https://docs.google.com/spreadsheets/d/1C3CXT74ZlgGe6_JY_1olB1XN4rF0dxEuIIF-xsYjHgg/edit?usp=sharing"",""งบกองทุน!Ed67"")"),200)</f>
        <v>200</v>
      </c>
      <c r="J466" s="265">
        <f>+J469+J470+J471+J472</f>
        <v>200</v>
      </c>
      <c r="K466" s="79">
        <f ca="1">IF(I466&gt;0,J466*100/I466,0)</f>
        <v>100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6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6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200</v>
      </c>
      <c r="K470" s="48">
        <f t="shared" si="106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6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6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7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7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8">SUM(L476:L477)</f>
        <v>0</v>
      </c>
      <c r="M475" s="52">
        <f t="shared" si="108"/>
        <v>0</v>
      </c>
      <c r="N475" s="52">
        <f t="shared" ca="1" si="107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IFERROR(__xludf.DUMMYFUNCTION("IMPORTRANGE(""https://docs.google.com/spreadsheets/d/1C3CXT74ZlgGe6_JY_1olB1XN4rF0dxEuIIF-xsYjHgg/edit?usp=sharing"",""งบกองทุน!Ek67"")"),0)</f>
        <v>0</v>
      </c>
      <c r="M476" s="52">
        <v>0</v>
      </c>
      <c r="N476" s="52">
        <f t="shared" ca="1" si="107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IFERROR(__xludf.DUMMYFUNCTION("IMPORTRANGE(""https://docs.google.com/spreadsheets/d/1C3CXT74ZlgGe6_JY_1olB1XN4rF0dxEuIIF-xsYjHgg/edit?usp=sharing"",""งบกองทุน!El67"")"),0)</f>
        <v>0</v>
      </c>
      <c r="M477" s="52">
        <f>SUM(M478:M481)</f>
        <v>0</v>
      </c>
      <c r="N477" s="52">
        <f t="shared" ca="1" si="107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IFERROR(__xludf.DUMMYFUNCTION("IMPORTRANGE(""https://docs.google.com/spreadsheets/d/1C3CXT74ZlgGe6_JY_1olB1XN4rF0dxEuIIF-xsYjHgg/edit?usp=sharing"",""งบกองทุน!Em67"")"),0)</f>
        <v>0</v>
      </c>
      <c r="J482" s="66">
        <f ca="1">IFERROR(__xludf.DUMMYFUNCTION("IMPORTRANGE(""https://docs.google.com/spreadsheets/d/1AGHcLOeeYFL3K4b9R1dSzyJy00PE_ra89DNTVfnxSWM/edit?usp=sharing"",""รวมที่ชุมชน!G56"")"),0)</f>
        <v>0</v>
      </c>
      <c r="K482" s="48">
        <f t="shared" ref="K482:K489" ca="1" si="109">IF(I482&gt;0,J482*100/I482,0)</f>
        <v>0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IFERROR(__xludf.DUMMYFUNCTION("IMPORTRANGE(""https://docs.google.com/spreadsheets/d/1C3CXT74ZlgGe6_JY_1olB1XN4rF0dxEuIIF-xsYjHgg/edit?usp=sharing"",""งบกองทุน!En67"")"),0)</f>
        <v>0</v>
      </c>
      <c r="J483" s="66">
        <f ca="1">IFERROR(__xludf.DUMMYFUNCTION("IMPORTRANGE(""https://docs.google.com/spreadsheets/d/1AGHcLOeeYFL3K4b9R1dSzyJy00PE_ra89DNTVfnxSWM/edit?usp=sharing"",""รวมที่ชุมชน!H56"")"),0)</f>
        <v>0</v>
      </c>
      <c r="K483" s="200">
        <f t="shared" ca="1" si="109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IFERROR(__xludf.DUMMYFUNCTION("IMPORTRANGE(""https://docs.google.com/spreadsheets/d/1C3CXT74ZlgGe6_JY_1olB1XN4rF0dxEuIIF-xsYjHgg/edit?usp=sharing"",""งบกองทุน!Eo67"")"),0)</f>
        <v>0</v>
      </c>
      <c r="J484" s="66">
        <f ca="1">IFERROR(__xludf.DUMMYFUNCTION("IMPORTRANGE(""https://docs.google.com/spreadsheets/d/1AGHcLOeeYFL3K4b9R1dSzyJy00PE_ra89DNTVfnxSWM/edit?usp=sharing"",""รวมที่ชุมชน!J56"")"),0)</f>
        <v>0</v>
      </c>
      <c r="K484" s="48">
        <f t="shared" ca="1" si="109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IFERROR(__xludf.DUMMYFUNCTION("IMPORTRANGE(""https://docs.google.com/spreadsheets/d/1C3CXT74ZlgGe6_JY_1olB1XN4rF0dxEuIIF-xsYjHgg/edit?usp=sharing"",""งบกองทุน!Ep67"")"),0)</f>
        <v>0</v>
      </c>
      <c r="J485" s="66">
        <f ca="1">IFERROR(__xludf.DUMMYFUNCTION("IMPORTRANGE(""https://docs.google.com/spreadsheets/d/1AGHcLOeeYFL3K4b9R1dSzyJy00PE_ra89DNTVfnxSWM/edit?usp=sharing"",""รวมที่ชุมชน!L56"")"),0)</f>
        <v>0</v>
      </c>
      <c r="K485" s="200">
        <f t="shared" ca="1" si="109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IFERROR(__xludf.DUMMYFUNCTION("IMPORTRANGE(""https://docs.google.com/spreadsheets/d/1C3CXT74ZlgGe6_JY_1olB1XN4rF0dxEuIIF-xsYjHgg/edit?usp=sharing"",""งบกองทุน!Eq67"")"),0)</f>
        <v>0</v>
      </c>
      <c r="J486" s="66">
        <f ca="1">IFERROR(__xludf.DUMMYFUNCTION("IMPORTRANGE(""https://docs.google.com/spreadsheets/d/1AGHcLOeeYFL3K4b9R1dSzyJy00PE_ra89DNTVfnxSWM/edit?usp=sharing"",""รวมที่ชุมชน!S56"")"),0)</f>
        <v>0</v>
      </c>
      <c r="K486" s="48">
        <f t="shared" ca="1" si="109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IFERROR(__xludf.DUMMYFUNCTION("IMPORTRANGE(""https://docs.google.com/spreadsheets/d/1C3CXT74ZlgGe6_JY_1olB1XN4rF0dxEuIIF-xsYjHgg/edit?usp=sharing"",""งบกองทุน!Er67"")"),0)</f>
        <v>0</v>
      </c>
      <c r="J487" s="66">
        <f ca="1">IFERROR(__xludf.DUMMYFUNCTION("IMPORTRANGE(""https://docs.google.com/spreadsheets/d/1AGHcLOeeYFL3K4b9R1dSzyJy00PE_ra89DNTVfnxSWM/edit?usp=sharing"",""รวมที่ชุมชน!U56"")"),0)</f>
        <v>0</v>
      </c>
      <c r="K487" s="200">
        <f t="shared" ca="1" si="109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IFERROR(__xludf.DUMMYFUNCTION("IMPORTRANGE(""https://docs.google.com/spreadsheets/d/1C3CXT74ZlgGe6_JY_1olB1XN4rF0dxEuIIF-xsYjHgg/edit?usp=sharing"",""งบกองทุน!Es67"")"),0)</f>
        <v>0</v>
      </c>
      <c r="J488" s="66">
        <f ca="1">IFERROR(__xludf.DUMMYFUNCTION("IMPORTRANGE(""https://docs.google.com/spreadsheets/d/1AGHcLOeeYFL3K4b9R1dSzyJy00PE_ra89DNTVfnxSWM/edit?usp=sharing"",""รวมที่ชุมชน!V56"")"),0)</f>
        <v>0</v>
      </c>
      <c r="K488" s="48">
        <f t="shared" ca="1" si="109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IFERROR(__xludf.DUMMYFUNCTION("IMPORTRANGE(""https://docs.google.com/spreadsheets/d/1C3CXT74ZlgGe6_JY_1olB1XN4rF0dxEuIIF-xsYjHgg/edit?usp=sharing"",""งบกองทุน!Et67"")"),0)</f>
        <v>0</v>
      </c>
      <c r="J489" s="111">
        <f ca="1">IFERROR(__xludf.DUMMYFUNCTION("IMPORTRANGE(""https://docs.google.com/spreadsheets/d/1AGHcLOeeYFL3K4b9R1dSzyJy00PE_ra89DNTVfnxSWM/edit?usp=sharing"",""รวมที่ชุมชน!X56"")"),0)</f>
        <v>0</v>
      </c>
      <c r="K489" s="347">
        <f t="shared" ca="1" si="109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03">
        <f t="shared" si="110"/>
        <v>0</v>
      </c>
      <c r="K490" s="258">
        <f ca="1">IF(I490&gt;0,J490*100/I490,0)</f>
        <v>0</v>
      </c>
      <c r="L490" s="259">
        <f ca="1">SUM(L491,L492)</f>
        <v>7300</v>
      </c>
      <c r="M490" s="259">
        <f>SUM(M491:M492)</f>
        <v>860</v>
      </c>
      <c r="N490" s="259">
        <f t="shared" ref="N490:N494" ca="1" si="111">+IF(L490&gt;0,M490*100/L490,0)</f>
        <v>11.780821917808218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1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2">SUM(L493:L494)</f>
        <v>7300</v>
      </c>
      <c r="M492" s="52">
        <f t="shared" si="112"/>
        <v>860</v>
      </c>
      <c r="N492" s="52">
        <f t="shared" ca="1" si="111"/>
        <v>11.780821917808218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IFERROR(__xludf.DUMMYFUNCTION("IMPORTRANGE(""https://docs.google.com/spreadsheets/d/1C3CXT74ZlgGe6_JY_1olB1XN4rF0dxEuIIF-xsYjHgg/edit?usp=sharing"",""งบกองทุน!Ev67"")"),0)</f>
        <v>0</v>
      </c>
      <c r="M493" s="52">
        <v>0</v>
      </c>
      <c r="N493" s="52">
        <f t="shared" ca="1" si="111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IFERROR(__xludf.DUMMYFUNCTION("IMPORTRANGE(""https://docs.google.com/spreadsheets/d/1C3CXT74ZlgGe6_JY_1olB1XN4rF0dxEuIIF-xsYjHgg/edit?usp=sharing"",""งบกองทุน!Ew67"")"),7300)</f>
        <v>7300</v>
      </c>
      <c r="M494" s="52">
        <f>SUM(M495:M498)</f>
        <v>860</v>
      </c>
      <c r="N494" s="52">
        <f t="shared" ca="1" si="111"/>
        <v>11.780821917808218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860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IFERROR(__xludf.DUMMYFUNCTION("IMPORTRANGE(""https://docs.google.com/spreadsheets/d/1C3CXT74ZlgGe6_JY_1olB1XN4rF0dxEuIIF-xsYjHgg/edit?usp=sharing"",""งบกองทุน!EZ67"")"),100)</f>
        <v>100</v>
      </c>
      <c r="J504" s="47">
        <f>+J510</f>
        <v>0</v>
      </c>
      <c r="K504" s="48">
        <f t="shared" ref="K504:K512" ca="1" si="113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3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3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3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3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3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4">I511+I512</f>
        <v>0</v>
      </c>
      <c r="J510" s="66">
        <f t="shared" si="114"/>
        <v>0</v>
      </c>
      <c r="K510" s="48">
        <f t="shared" ca="1" si="113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3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3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IFERROR(__xludf.DUMMYFUNCTION("IMPORTRANGE(""https://docs.google.com/spreadsheets/d/1C3CXT74ZlgGe6_JY_1olB1XN4rF0dxEuIIF-xsYjHgg/edit?usp=sharing"",""งบกองทุน!ff67"")"),0)</f>
        <v>0</v>
      </c>
      <c r="J513" s="47">
        <f>J514</f>
        <v>0</v>
      </c>
      <c r="K513" s="48">
        <f t="shared" ref="K513:K519" ca="1" si="115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6">I515+I516</f>
        <v>0</v>
      </c>
      <c r="J514" s="47">
        <f t="shared" si="116"/>
        <v>0</v>
      </c>
      <c r="K514" s="48">
        <f t="shared" ca="1" si="115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5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5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7">SUM(I518:I519)</f>
        <v>0</v>
      </c>
      <c r="J517" s="66">
        <f t="shared" si="117"/>
        <v>0</v>
      </c>
      <c r="K517" s="48">
        <f t="shared" ca="1" si="115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5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5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IFERROR(__xludf.DUMMYFUNCTION("IMPORTRANGE(""https://docs.google.com/spreadsheets/d/1muirlRDkqiswvy_NRZ3Yh955hx-PF6_HhssUYiSJj8o/edit?usp=sharing"",""กองทุน!D67"")"),1040000)</f>
        <v>1040000</v>
      </c>
      <c r="J521" s="199">
        <f ca="1">IFERROR(__xludf.DUMMYFUNCTION("IMPORTRANGE(""https://docs.google.com/spreadsheets/d/1muirlRDkqiswvy_NRZ3Yh955hx-PF6_HhssUYiSJj8o/edit?usp=sharing"",""กองทุน!F67"")"),0)</f>
        <v>0</v>
      </c>
      <c r="K521" s="200">
        <f t="shared" ref="K521:K528" ca="1" si="118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IFERROR(__xludf.DUMMYFUNCTION("IMPORTRANGE(""https://docs.google.com/spreadsheets/d/1muirlRDkqiswvy_NRZ3Yh955hx-PF6_HhssUYiSJj8o/edit?usp=sharing"",""กองทุน!C67"")"),36)</f>
        <v>36</v>
      </c>
      <c r="J522" s="199">
        <f ca="1">IFERROR(__xludf.DUMMYFUNCTION("IMPORTRANGE(""https://docs.google.com/spreadsheets/d/1muirlRDkqiswvy_NRZ3Yh955hx-PF6_HhssUYiSJj8o/edit?usp=sharing"",""กองทุน!E67"")"),0)</f>
        <v>0</v>
      </c>
      <c r="K522" s="200">
        <f t="shared" ca="1" si="118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IFERROR(__xludf.DUMMYFUNCTION("IMPORTRANGE(""https://docs.google.com/spreadsheets/d/1muirlRDkqiswvy_NRZ3Yh955hx-PF6_HhssUYiSJj8o/edit?usp=sharing"",""กองทุน!I67"")"),527992.79)</f>
        <v>527992.79</v>
      </c>
      <c r="J523" s="199">
        <f ca="1">IFERROR(__xludf.DUMMYFUNCTION("IMPORTRANGE(""https://docs.google.com/spreadsheets/d/1muirlRDkqiswvy_NRZ3Yh955hx-PF6_HhssUYiSJj8o/edit?usp=sharing"",""กองทุน!K67"")"),0)</f>
        <v>0</v>
      </c>
      <c r="K523" s="200">
        <f t="shared" ca="1" si="118"/>
        <v>0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IFERROR(__xludf.DUMMYFUNCTION("IMPORTRANGE(""https://docs.google.com/spreadsheets/d/1muirlRDkqiswvy_NRZ3Yh955hx-PF6_HhssUYiSJj8o/edit?usp=sharing"",""กองทุน!H67"")"),9)</f>
        <v>9</v>
      </c>
      <c r="J524" s="199">
        <f ca="1">IFERROR(__xludf.DUMMYFUNCTION("IMPORTRANGE(""https://docs.google.com/spreadsheets/d/1muirlRDkqiswvy_NRZ3Yh955hx-PF6_HhssUYiSJj8o/edit?usp=sharing"",""กองทุน!J67"")"),0)</f>
        <v>0</v>
      </c>
      <c r="K524" s="200">
        <f t="shared" ca="1" si="118"/>
        <v>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IFERROR(__xludf.DUMMYFUNCTION("IMPORTRANGE(""https://docs.google.com/spreadsheets/d/1muirlRDkqiswvy_NRZ3Yh955hx-PF6_HhssUYiSJj8o/edit?usp=sharing"",""กองทุน!N67"")"),4039706.08)</f>
        <v>4039706.08</v>
      </c>
      <c r="J525" s="199">
        <f ca="1">IFERROR(__xludf.DUMMYFUNCTION("IMPORTRANGE(""https://docs.google.com/spreadsheets/d/1muirlRDkqiswvy_NRZ3Yh955hx-PF6_HhssUYiSJj8o/edit?usp=sharing"",""กองทุน!P67"")"),301728.15)</f>
        <v>301728.15000000002</v>
      </c>
      <c r="K525" s="200">
        <f t="shared" ca="1" si="118"/>
        <v>7.4690619571015926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IFERROR(__xludf.DUMMYFUNCTION("IMPORTRANGE(""https://docs.google.com/spreadsheets/d/1muirlRDkqiswvy_NRZ3Yh955hx-PF6_HhssUYiSJj8o/edit?usp=sharing"",""กองทุน!M67"")"),2075)</f>
        <v>2075</v>
      </c>
      <c r="J526" s="199">
        <f ca="1">IFERROR(__xludf.DUMMYFUNCTION("IMPORTRANGE(""https://docs.google.com/spreadsheets/d/1muirlRDkqiswvy_NRZ3Yh955hx-PF6_HhssUYiSJj8o/edit?usp=sharing"",""กองทุน!O67"")"),83)</f>
        <v>83</v>
      </c>
      <c r="K526" s="200">
        <f t="shared" ca="1" si="118"/>
        <v>4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IFERROR(__xludf.DUMMYFUNCTION("IMPORTRANGE(""https://docs.google.com/spreadsheets/d/1muirlRDkqiswvy_NRZ3Yh955hx-PF6_HhssUYiSJj8o/edit?usp=sharing"",""กองทุน!S67"")"),960000)</f>
        <v>960000</v>
      </c>
      <c r="J527" s="199">
        <f ca="1">IFERROR(__xludf.DUMMYFUNCTION("IMPORTRANGE(""https://docs.google.com/spreadsheets/d/1muirlRDkqiswvy_NRZ3Yh955hx-PF6_HhssUYiSJj8o/edit?usp=sharing"",""กองทุน!U67"")"),0)</f>
        <v>0</v>
      </c>
      <c r="K527" s="200">
        <f t="shared" ca="1" si="118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IFERROR(__xludf.DUMMYFUNCTION("IMPORTRANGE(""https://docs.google.com/spreadsheets/d/1muirlRDkqiswvy_NRZ3Yh955hx-PF6_HhssUYiSJj8o/edit?usp=sharing"",""กองทุน!R67"")"),33)</f>
        <v>33</v>
      </c>
      <c r="J528" s="324">
        <f ca="1">IFERROR(__xludf.DUMMYFUNCTION("IMPORTRANGE(""https://docs.google.com/spreadsheets/d/1muirlRDkqiswvy_NRZ3Yh955hx-PF6_HhssUYiSJj8o/edit?usp=sharing"",""กองทุน!T67"")"),0)</f>
        <v>0</v>
      </c>
      <c r="K528" s="347">
        <f t="shared" ca="1" si="118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232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849670</v>
      </c>
      <c r="M6" s="16">
        <f t="shared" si="0"/>
        <v>56496.24</v>
      </c>
      <c r="N6" s="17">
        <f ca="1">IF(L6&gt;0,M6*100/L6,0)</f>
        <v>6.6491979238998669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66"/>
      <c r="K11" s="232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66"/>
      <c r="K12" s="232"/>
      <c r="L12" s="52">
        <f ca="1">IFERROR(__xludf.DUMMYFUNCTION("IMPORTRANGE(""https://docs.google.com/spreadsheets/d/1C3CXT74ZlgGe6_JY_1olB1XN4rF0dxEuIIF-xsYjHgg/edit?usp=sharing"",""พรบ!C68"")"),0)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IFERROR(__xludf.DUMMYFUNCTION("IMPORTRANGE(""https://docs.google.com/spreadsheets/d/1C3CXT74ZlgGe6_JY_1olB1XN4rF0dxEuIIF-xsYjHgg/edit?usp=sharing"",""พรบ!D68"")"),0)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IFERROR(__xludf.DUMMYFUNCTION("IMPORTRANGE(""https://docs.google.com/spreadsheets/d/1C3CXT74ZlgGe6_JY_1olB1XN4rF0dxEuIIF-xsYjHgg/edit?usp=sharing"",""พรบ!E68"")"),0)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IFERROR(__xludf.DUMMYFUNCTION("IMPORTRANGE(""https://docs.google.com/spreadsheets/d/1C3CXT74ZlgGe6_JY_1olB1XN4rF0dxEuIIF-xsYjHgg/edit?usp=sharing"",""พรบ!H68"")"),0)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IFERROR(__xludf.DUMMYFUNCTION("IMPORTRANGE(""https://docs.google.com/spreadsheets/d/1C3CXT74ZlgGe6_JY_1olB1XN4rF0dxEuIIF-xsYjHgg/edit?usp=sharing"",""พรบ!I68"")"),0)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IFERROR(__xludf.DUMMYFUNCTION("IMPORTRANGE(""https://docs.google.com/spreadsheets/d/1C3CXT74ZlgGe6_JY_1olB1XN4rF0dxEuIIF-xsYjHgg/edit?usp=sharing"",""พรบ!J68"")"),0)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IFERROR(__xludf.DUMMYFUNCTION("IMPORTRANGE(""https://docs.google.com/spreadsheets/d/1C3CXT74ZlgGe6_JY_1olB1XN4rF0dxEuIIF-xsYjHgg/edit?usp=sharing"",""พรบ!K68"")"),0)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IFERROR(__xludf.DUMMYFUNCTION("IMPORTRANGE(""https://docs.google.com/spreadsheets/d/1C3CXT74ZlgGe6_JY_1olB1XN4rF0dxEuIIF-xsYjHgg/edit?usp=sharing"",""พรบ!L68"")"),0)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IFERROR(__xludf.DUMMYFUNCTION("IMPORTRANGE(""https://docs.google.com/spreadsheets/d/1C3CXT74ZlgGe6_JY_1olB1XN4rF0dxEuIIF-xsYjHgg/edit?usp=sharing"",""พรบ!M68"")"),0)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IFERROR(__xludf.DUMMYFUNCTION("IMPORTRANGE(""https://docs.google.com/spreadsheets/d/1C3CXT74ZlgGe6_JY_1olB1XN4rF0dxEuIIF-xsYjHgg/edit?usp=sharing"",""พรบ!N68"")"),0)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IFERROR(__xludf.DUMMYFUNCTION("IMPORTRANGE(""https://docs.google.com/spreadsheets/d/1C3CXT74ZlgGe6_JY_1olB1XN4rF0dxEuIIF-xsYjHgg/edit?usp=sharing"",""พรบ!O68"")"),0)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IFERROR(__xludf.DUMMYFUNCTION("IMPORTRANGE(""https://docs.google.com/spreadsheets/d/1C3CXT74ZlgGe6_JY_1olB1XN4rF0dxEuIIF-xsYjHgg/edit?usp=sharing"",""พรบ!P68"")"),0)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IFERROR(__xludf.DUMMYFUNCTION("IMPORTRANGE(""https://docs.google.com/spreadsheets/d/1C3CXT74ZlgGe6_JY_1olB1XN4rF0dxEuIIF-xsYjHgg/edit?usp=sharing"",""พรบ!Q68"")"),0)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IFERROR(__xludf.DUMMYFUNCTION("IMPORTRANGE(""https://docs.google.com/spreadsheets/d/1C3CXT74ZlgGe6_JY_1olB1XN4rF0dxEuIIF-xsYjHgg/edit?usp=sharing"",""พรบ!R68"")"),0)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IFERROR(__xludf.DUMMYFUNCTION("IMPORTRANGE(""https://docs.google.com/spreadsheets/d/1C3CXT74ZlgGe6_JY_1olB1XN4rF0dxEuIIF-xsYjHgg/edit?usp=sharing"",""พรบ!S68"")"),0)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IFERROR(__xludf.DUMMYFUNCTION("IMPORTRANGE(""https://docs.google.com/spreadsheets/d/1C3CXT74ZlgGe6_JY_1olB1XN4rF0dxEuIIF-xsYjHgg/edit?usp=sharing"",""พรบ!T68"")"),0)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IFERROR(__xludf.DUMMYFUNCTION("IMPORTRANGE(""https://docs.google.com/spreadsheets/d/1C3CXT74ZlgGe6_JY_1olB1XN4rF0dxEuIIF-xsYjHgg/edit?usp=sharing"",""พรบ!U68"")"),0)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IFERROR(__xludf.DUMMYFUNCTION("IMPORTRANGE(""https://docs.google.com/spreadsheets/d/1C3CXT74ZlgGe6_JY_1olB1XN4rF0dxEuIIF-xsYjHgg/edit?usp=sharing"",""พรบ!V68"")"),0)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IFERROR(__xludf.DUMMYFUNCTION("IMPORTRANGE(""https://docs.google.com/spreadsheets/d/1C3CXT74ZlgGe6_JY_1olB1XN4rF0dxEuIIF-xsYjHgg/edit?usp=sharing"",""พรบ!W68"")"),0)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IFERROR(__xludf.DUMMYFUNCTION("IMPORTRANGE(""https://docs.google.com/spreadsheets/d/1C3CXT74ZlgGe6_JY_1olB1XN4rF0dxEuIIF-xsYjHgg/edit?usp=sharing"",""พรบ!Y68"")"),0)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IFERROR(__xludf.DUMMYFUNCTION("IMPORTRANGE(""https://docs.google.com/spreadsheets/d/1C3CXT74ZlgGe6_JY_1olB1XN4rF0dxEuIIF-xsYjHgg/edit?usp=sharing"",""พรบ!Z68"")"),0)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IFERROR(__xludf.DUMMYFUNCTION("IMPORTRANGE(""https://docs.google.com/spreadsheets/d/1C3CXT74ZlgGe6_JY_1olB1XN4rF0dxEuIIF-xsYjHgg/edit?usp=sharing"",""พรบ!AA68"")"),0)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44500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44500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IFERROR(__xludf.DUMMYFUNCTION("IMPORTRANGE(""https://docs.google.com/spreadsheets/d/1C3CXT74ZlgGe6_JY_1olB1XN4rF0dxEuIIF-xsYjHgg/edit?usp=sharing"",""พรบ!AD68"")"),0)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44500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IFERROR(__xludf.DUMMYFUNCTION("IMPORTRANGE(""https://docs.google.com/spreadsheets/d/1C3CXT74ZlgGe6_JY_1olB1XN4rF0dxEuIIF-xsYjHgg/edit?usp=sharing"",""พรบ!AF68"")"),7500)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IFERROR(__xludf.DUMMYFUNCTION("IMPORTRANGE(""https://docs.google.com/spreadsheets/d/1C3CXT74ZlgGe6_JY_1olB1XN4rF0dxEuIIF-xsYjHgg/edit?usp=sharing"",""พรบ!AG68"")"),4)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2</v>
      </c>
      <c r="J89" s="149">
        <f t="shared" si="21"/>
        <v>0</v>
      </c>
      <c r="K89" s="150">
        <f ca="1">IF(I89&gt;0,J89*100/I89,0)</f>
        <v>0</v>
      </c>
      <c r="L89" s="147">
        <f ca="1">L90+L91</f>
        <v>28000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IFERROR(__xludf.DUMMYFUNCTION("IMPORTRANGE(""https://docs.google.com/spreadsheets/d/1C3CXT74ZlgGe6_JY_1olB1XN4rF0dxEuIIF-xsYjHgg/edit?usp=sharing"",""พรบ!AH68"")"),28000)</f>
        <v>28000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IFERROR(__xludf.DUMMYFUNCTION("IMPORTRANGE(""https://docs.google.com/spreadsheets/d/1C3CXT74ZlgGe6_JY_1olB1XN4rF0dxEuIIF-xsYjHgg/edit?usp=sharing"",""พรบ!AI68"")"),2)</f>
        <v>2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IFERROR(__xludf.DUMMYFUNCTION("IMPORTRANGE(""https://docs.google.com/spreadsheets/d/1C3CXT74ZlgGe6_JY_1olB1XN4rF0dxEuIIF-xsYjHgg/edit?usp=sharing"",""กปร!C68"")"),24000)</f>
        <v>24000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IFERROR(__xludf.DUMMYFUNCTION("IMPORTRANGE(""https://docs.google.com/spreadsheets/d/1C3CXT74ZlgGe6_JY_1olB1XN4rF0dxEuIIF-xsYjHgg/edit?usp=sharing"",""พรบ!AJ68"")"),0)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IFERROR(__xludf.DUMMYFUNCTION("IMPORTRANGE(""https://docs.google.com/spreadsheets/d/1C3CXT74ZlgGe6_JY_1olB1XN4rF0dxEuIIF-xsYjHgg/edit?usp=sharing"",""พรบ!AK68"")"),0)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IFERROR(__xludf.DUMMYFUNCTION("IMPORTRANGE(""https://docs.google.com/spreadsheets/d/1C3CXT74ZlgGe6_JY_1olB1XN4rF0dxEuIIF-xsYjHgg/edit?usp=sharing"",""กปร!D68"")"),0)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IFERROR(__xludf.DUMMYFUNCTION("IMPORTRANGE(""https://docs.google.com/spreadsheets/d/1C3CXT74ZlgGe6_JY_1olB1XN4rF0dxEuIIF-xsYjHgg/edit?usp=sharing"",""พรบ!AL68"")"),0)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IFERROR(__xludf.DUMMYFUNCTION("IMPORTRANGE(""https://docs.google.com/spreadsheets/d/1C3CXT74ZlgGe6_JY_1olB1XN4rF0dxEuIIF-xsYjHgg/edit?usp=sharing"",""กปร!E68"")"),0)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IFERROR(__xludf.DUMMYFUNCTION("IMPORTRANGE(""https://docs.google.com/spreadsheets/d/1C3CXT74ZlgGe6_JY_1olB1XN4rF0dxEuIIF-xsYjHgg/edit?usp=sharing"",""พรบ!AM68"")"),9000)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IFERROR(__xludf.DUMMYFUNCTION("IMPORTRANGE(""https://docs.google.com/spreadsheets/d/1C3CXT74ZlgGe6_JY_1olB1XN4rF0dxEuIIF-xsYjHgg/edit?usp=sharing"",""พรบ!AO68"")"),20000)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IFERROR(__xludf.DUMMYFUNCTION("IMPORTRANGE(""https://docs.google.com/spreadsheets/d/1C3CXT74ZlgGe6_JY_1olB1XN4rF0dxEuIIF-xsYjHgg/edit?usp=sharing"",""พรบ!AP68"")"),20000)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IFERROR(__xludf.DUMMYFUNCTION("IMPORTRANGE(""https://docs.google.com/spreadsheets/d/1C3CXT74ZlgGe6_JY_1olB1XN4rF0dxEuIIF-xsYjHgg/edit?usp=sharing"",""กปร!F68"")"),5000)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IFERROR(__xludf.DUMMYFUNCTION("IMPORTRANGE(""https://docs.google.com/spreadsheets/d/1C3CXT74ZlgGe6_JY_1olB1XN4rF0dxEuIIF-xsYjHgg/edit?usp=sharing"",""พรบ!AQ68"")"),0)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IFERROR(__xludf.DUMMYFUNCTION("IMPORTRANGE(""https://docs.google.com/spreadsheets/d/1C3CXT74ZlgGe6_JY_1olB1XN4rF0dxEuIIF-xsYjHgg/edit?usp=sharing"",""กปร!G68"")"),0)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IFERROR(__xludf.DUMMYFUNCTION("IMPORTRANGE(""https://docs.google.com/spreadsheets/d/1C3CXT74ZlgGe6_JY_1olB1XN4rF0dxEuIIF-xsYjHgg/edit?usp=sharing"",""พรบ!AR68"")"),0)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IFERROR(__xludf.DUMMYFUNCTION("IMPORTRANGE(""https://docs.google.com/spreadsheets/d/1C3CXT74ZlgGe6_JY_1olB1XN4rF0dxEuIIF-xsYjHgg/edit?usp=sharing"",""พรบ!AS68"")"),0)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IFERROR(__xludf.DUMMYFUNCTION("IMPORTRANGE(""https://docs.google.com/spreadsheets/d/1C3CXT74ZlgGe6_JY_1olB1XN4rF0dxEuIIF-xsYjHgg/edit?usp=sharing"",""กปร!H68"")"),0)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IFERROR(__xludf.DUMMYFUNCTION("IMPORTRANGE(""https://docs.google.com/spreadsheets/d/1C3CXT74ZlgGe6_JY_1olB1XN4rF0dxEuIIF-xsYjHgg/edit?usp=sharing"",""พรบ!AT68"")"),0)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IFERROR(__xludf.DUMMYFUNCTION("IMPORTRANGE(""https://docs.google.com/spreadsheets/d/1C3CXT74ZlgGe6_JY_1olB1XN4rF0dxEuIIF-xsYjHgg/edit?usp=sharing"",""กปร!I68"")"),0)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IFERROR(__xludf.DUMMYFUNCTION("IMPORTRANGE(""https://docs.google.com/spreadsheets/d/1C3CXT74ZlgGe6_JY_1olB1XN4rF0dxEuIIF-xsYjHgg/edit?usp=sharing"",""พรบ!AU68"")"),0)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IFERROR(__xludf.DUMMYFUNCTION("IMPORTRANGE(""https://docs.google.com/spreadsheets/d/1C3CXT74ZlgGe6_JY_1olB1XN4rF0dxEuIIF-xsYjHgg/edit?usp=sharing"",""กปร!J68"")"),0)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IFERROR(__xludf.DUMMYFUNCTION("IMPORTRANGE(""https://docs.google.com/spreadsheets/d/1C3CXT74ZlgGe6_JY_1olB1XN4rF0dxEuIIF-xsYjHgg/edit?usp=sharing"",""พรบ!AY68"")"),20210)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1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IFERROR(__xludf.DUMMYFUNCTION("IMPORTRANGE(""https://docs.google.com/spreadsheets/d/1C3CXT74ZlgGe6_JY_1olB1XN4rF0dxEuIIF-xsYjHgg/edit?usp=sharing"",""พรบ!BA68"")"),14)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IFERROR(__xludf.DUMMYFUNCTION("IMPORTRANGE(""https://docs.google.com/spreadsheets/d/1C3CXT74ZlgGe6_JY_1olB1XN4rF0dxEuIIF-xsYjHgg/edit?usp=sharing"",""พรบ!BD68"")"),0)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IFERROR(__xludf.DUMMYFUNCTION("IMPORTRANGE(""https://docs.google.com/spreadsheets/d/1C3CXT74ZlgGe6_JY_1olB1XN4rF0dxEuIIF-xsYjHgg/edit?usp=sharing"",""พรบ!BE68"")"),0)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IFERROR(__xludf.DUMMYFUNCTION("IMPORTRANGE(""https://docs.google.com/spreadsheets/d/1C3CXT74ZlgGe6_JY_1olB1XN4rF0dxEuIIF-xsYjHgg/edit?usp=sharing"",""พรบ!BF68"")"),0)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IFERROR(__xludf.DUMMYFUNCTION("IMPORTRANGE(""https://docs.google.com/spreadsheets/d/1C3CXT74ZlgGe6_JY_1olB1XN4rF0dxEuIIF-xsYjHgg/edit?usp=sharing"",""พรบ!BG68"")"),0)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IFERROR(__xludf.DUMMYFUNCTION("IMPORTRANGE(""https://docs.google.com/spreadsheets/d/1C3CXT74ZlgGe6_JY_1olB1XN4rF0dxEuIIF-xsYjHgg/edit?usp=sharing"",""พรบ!BH68"")"),0)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IFERROR(__xludf.DUMMYFUNCTION("IMPORTRANGE(""https://docs.google.com/spreadsheets/d/1C3CXT74ZlgGe6_JY_1olB1XN4rF0dxEuIIF-xsYjHgg/edit?usp=sharing"",""พรบ!BI68"")"),0)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IFERROR(__xludf.DUMMYFUNCTION("IMPORTRANGE(""https://docs.google.com/spreadsheets/d/1C3CXT74ZlgGe6_JY_1olB1XN4rF0dxEuIIF-xsYjHgg/edit?usp=sharing"",""พรบ!BK68"")"),0)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IFERROR(__xludf.DUMMYFUNCTION("IMPORTRANGE(""https://docs.google.com/spreadsheets/d/1C3CXT74ZlgGe6_JY_1olB1XN4rF0dxEuIIF-xsYjHgg/edit?usp=sharing"",""พรบ!BL68"")"),0)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IFERROR(__xludf.DUMMYFUNCTION("IMPORTRANGE(""https://docs.google.com/spreadsheets/d/1C3CXT74ZlgGe6_JY_1olB1XN4rF0dxEuIIF-xsYjHgg/edit?usp=sharing"",""พรบ!BM68"")"),0)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IFERROR(__xludf.DUMMYFUNCTION("IMPORTRANGE(""https://docs.google.com/spreadsheets/d/1C3CXT74ZlgGe6_JY_1olB1XN4rF0dxEuIIF-xsYjHgg/edit?usp=sharing"",""พรบ!BP68"")"),0)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IFERROR(__xludf.DUMMYFUNCTION("IMPORTRANGE(""https://docs.google.com/spreadsheets/d/1C3CXT74ZlgGe6_JY_1olB1XN4rF0dxEuIIF-xsYjHgg/edit?usp=sharing"",""พรบ!BQ68"")"),0)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IFERROR(__xludf.DUMMYFUNCTION("IMPORTRANGE(""https://docs.google.com/spreadsheets/d/1C3CXT74ZlgGe6_JY_1olB1XN4rF0dxEuIIF-xsYjHgg/edit?usp=sharing"",""พรบ!BR68"")"),0)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66"/>
      <c r="K215" s="232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66"/>
      <c r="K216" s="232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IFERROR(__xludf.DUMMYFUNCTION("IMPORTRANGE(""https://docs.google.com/spreadsheets/d/1C3CXT74ZlgGe6_JY_1olB1XN4rF0dxEuIIF-xsYjHgg/edit?usp=sharing"",""พรบ!BU68"")"),0)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52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52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52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52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52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IFERROR(__xludf.DUMMYFUNCTION("IMPORTRANGE(""https://docs.google.com/spreadsheets/d/1C3CXT74ZlgGe6_JY_1olB1XN4rF0dxEuIIF-xsYjHgg/edit?usp=sharing"",""พรบ!BV68"")"),0)</f>
        <v>0</v>
      </c>
      <c r="J224" s="66">
        <v>0</v>
      </c>
      <c r="K224" s="232">
        <f ca="1">IF(I224&gt;0,J224*100/I224,0)</f>
        <v>0</v>
      </c>
      <c r="L224" s="52"/>
      <c r="M224" s="52"/>
      <c r="N224" s="52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52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52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135</v>
      </c>
      <c r="J228" s="197">
        <f ca="1">J240</f>
        <v>0</v>
      </c>
      <c r="K228" s="178">
        <f ca="1">IF(I228&gt;0,J228*100/I228,0)</f>
        <v>0</v>
      </c>
      <c r="L228" s="179">
        <f ca="1">L229+L230</f>
        <v>784960</v>
      </c>
      <c r="M228" s="179">
        <f>SUM(M229:M230)</f>
        <v>56496.24</v>
      </c>
      <c r="N228" s="178">
        <f ca="1">IF(L228&gt;0,M228*100/L228,0)</f>
        <v>7.197339991846718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784960</v>
      </c>
      <c r="M230" s="52">
        <f t="shared" si="51"/>
        <v>56496.24</v>
      </c>
      <c r="N230" s="52">
        <f t="shared" ca="1" si="50"/>
        <v>7.197339991846718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IFERROR(__xludf.DUMMYFUNCTION("IMPORTRANGE(""https://docs.google.com/spreadsheets/d/1C3CXT74ZlgGe6_JY_1olB1XN4rF0dxEuIIF-xsYjHgg/edit?usp=sharing"",""พรบ!BX68"")"),505100)</f>
        <v>505100</v>
      </c>
      <c r="M231" s="53">
        <v>56496.24</v>
      </c>
      <c r="N231" s="52">
        <f t="shared" ca="1" si="50"/>
        <v>11.18515937438131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IFERROR(__xludf.DUMMYFUNCTION("IMPORTRANGE(""https://docs.google.com/spreadsheets/d/1C3CXT74ZlgGe6_JY_1olB1XN4rF0dxEuIIF-xsYjHgg/edit?usp=sharing"",""พรบ!BY68"")"),279860)</f>
        <v>279860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IFERROR(__xludf.DUMMYFUNCTION("IMPORTRANGE(""https://docs.google.com/spreadsheets/d/1AGHcLOeeYFL3K4b9R1dSzyJy00PE_ra89DNTVfnxSWM/edit?usp=sharing"",""รวมที่ทำกิน!J57"")"),0)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IFERROR(__xludf.DUMMYFUNCTION("IMPORTRANGE(""https://docs.google.com/spreadsheets/d/1C3CXT74ZlgGe6_JY_1olB1XN4rF0dxEuIIF-xsYjHgg/edit?usp=sharing"",""พรบ!BZ68"")"),780)</f>
        <v>780</v>
      </c>
      <c r="J235" s="66">
        <f ca="1">IFERROR(__xludf.DUMMYFUNCTION("IMPORTRANGE(""https://docs.google.com/spreadsheets/d/1AGHcLOeeYFL3K4b9R1dSzyJy00PE_ra89DNTVfnxSWM/edit?usp=sharing"",""รวมที่ทำกิน!L57"")"),0)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IFERROR(__xludf.DUMMYFUNCTION("IMPORTRANGE(""https://docs.google.com/spreadsheets/d/1C3CXT74ZlgGe6_JY_1olB1XN4rF0dxEuIIF-xsYjHgg/edit?usp=sharing"",""พรบ!CA68"")"),135)</f>
        <v>135</v>
      </c>
      <c r="J236" s="66">
        <f ca="1">IFERROR(__xludf.DUMMYFUNCTION("IMPORTRANGE(""https://docs.google.com/spreadsheets/d/1AGHcLOeeYFL3K4b9R1dSzyJy00PE_ra89DNTVfnxSWM/edit?usp=sharing"",""รวมที่ทำกิน!O57"")"),0)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IFERROR(__xludf.DUMMYFUNCTION("IMPORTRANGE(""https://docs.google.com/spreadsheets/d/1AGHcLOeeYFL3K4b9R1dSzyJy00PE_ra89DNTVfnxSWM/edit?usp=sharing"",""รวมที่ทำกิน!Q57"")"),0)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IFERROR(__xludf.DUMMYFUNCTION("IMPORTRANGE(""https://docs.google.com/spreadsheets/d/1C3CXT74ZlgGe6_JY_1olB1XN4rF0dxEuIIF-xsYjHgg/edit?usp=sharing"",""พรบ!CB68"")"),135)</f>
        <v>135</v>
      </c>
      <c r="J238" s="66">
        <f ca="1">IFERROR(__xludf.DUMMYFUNCTION("IMPORTRANGE(""https://docs.google.com/spreadsheets/d/1AGHcLOeeYFL3K4b9R1dSzyJy00PE_ra89DNTVfnxSWM/edit?usp=sharing"",""รวมที่ทำกิน!S57"")"),0)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IFERROR(__xludf.DUMMYFUNCTION("IMPORTRANGE(""https://docs.google.com/spreadsheets/d/1AGHcLOeeYFL3K4b9R1dSzyJy00PE_ra89DNTVfnxSWM/edit?usp=sharing"",""รวมที่ทำกิน!U57"")"),0)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IFERROR(__xludf.DUMMYFUNCTION("IMPORTRANGE(""https://docs.google.com/spreadsheets/d/1C3CXT74ZlgGe6_JY_1olB1XN4rF0dxEuIIF-xsYjHgg/edit?usp=sharing"",""พรบ!CC68"")"),135)</f>
        <v>135</v>
      </c>
      <c r="J240" s="66">
        <f ca="1">IFERROR(__xludf.DUMMYFUNCTION("IMPORTRANGE(""https://docs.google.com/spreadsheets/d/1AGHcLOeeYFL3K4b9R1dSzyJy00PE_ra89DNTVfnxSWM/edit?usp=sharing"",""รวมที่ทำกิน!W57"")"),0)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IFERROR(__xludf.DUMMYFUNCTION("IMPORTRANGE(""https://docs.google.com/spreadsheets/d/1AGHcLOeeYFL3K4b9R1dSzyJy00PE_ra89DNTVfnxSWM/edit?usp=sharing"",""รวมที่ทำกิน!Y57"")"),0)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944579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IFERROR(__xludf.DUMMYFUNCTION("IMPORTRANGE(""https://docs.google.com/spreadsheets/d/1C3CXT74ZlgGe6_JY_1olB1XN4rF0dxEuIIF-xsYjHgg/edit?usp=sharing"",""งบกองทุน!d68"")"),0)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IFERROR(__xludf.DUMMYFUNCTION("IMPORTRANGE(""https://docs.google.com/spreadsheets/d/1C3CXT74ZlgGe6_JY_1olB1XN4rF0dxEuIIF-xsYjHgg/edit?usp=sharing"",""งบกองทุน!e68"")"),0)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IFERROR(__xludf.DUMMYFUNCTION("IMPORTRANGE(""https://docs.google.com/spreadsheets/d/1C3CXT74ZlgGe6_JY_1olB1XN4rF0dxEuIIF-xsYjHgg/edit?usp=sharing"",""งบกองทุน!f68"")"),0)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IFERROR(__xludf.DUMMYFUNCTION("IMPORTRANGE(""https://docs.google.com/spreadsheets/d/1C3CXT74ZlgGe6_JY_1olB1XN4rF0dxEuIIF-xsYjHgg/edit?usp=sharing"",""งบกองทุน!H68"")"),0)</f>
        <v>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IFERROR(__xludf.DUMMYFUNCTION("IMPORTRANGE(""https://docs.google.com/spreadsheets/d/1C3CXT74ZlgGe6_JY_1olB1XN4rF0dxEuIIF-xsYjHgg/edit?usp=sharing"",""งบกองทุน!i68"")"),0)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IFERROR(__xludf.DUMMYFUNCTION("IMPORTRANGE(""https://docs.google.com/spreadsheets/d/1C3CXT74ZlgGe6_JY_1olB1XN4rF0dxEuIIF-xsYjHgg/edit?usp=sharing"",""งบกองทุน!k68"")"),0)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IFERROR(__xludf.DUMMYFUNCTION("IMPORTRANGE(""https://docs.google.com/spreadsheets/d/1C3CXT74ZlgGe6_JY_1olB1XN4rF0dxEuIIF-xsYjHgg/edit?usp=sharing"",""งบกองทุน!m68"")"),0)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IFERROR(__xludf.DUMMYFUNCTION("IMPORTRANGE(""https://docs.google.com/spreadsheets/d/1C3CXT74ZlgGe6_JY_1olB1XN4rF0dxEuIIF-xsYjHgg/edit?usp=sharing"",""งบกองทุน!o68"")"),0)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IFERROR(__xludf.DUMMYFUNCTION("IMPORTRANGE(""https://docs.google.com/spreadsheets/d/1C3CXT74ZlgGe6_JY_1olB1XN4rF0dxEuIIF-xsYjHgg/edit?usp=sharing"",""งบกองทุน!p68"")"),0)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500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460140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50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460140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IFERROR(__xludf.DUMMYFUNCTION("IMPORTRANGE(""https://docs.google.com/spreadsheets/d/1C3CXT74ZlgGe6_JY_1olB1XN4rF0dxEuIIF-xsYjHgg/edit?usp=sharing"",""งบกองทุน!r68"")"),0)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IFERROR(__xludf.DUMMYFUNCTION("IMPORTRANGE(""https://docs.google.com/spreadsheets/d/1C3CXT74ZlgGe6_JY_1olB1XN4rF0dxEuIIF-xsYjHgg/edit?usp=sharing"",""งบกองทุน!s68"")"),460140)</f>
        <v>460140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IFERROR(__xludf.DUMMYFUNCTION("IMPORTRANGE(""https://docs.google.com/spreadsheets/d/1C3CXT74ZlgGe6_JY_1olB1XN4rF0dxEuIIF-xsYjHgg/edit?usp=sharing"",""งบกองทุน!v68"")"),50)</f>
        <v>50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IFERROR(__xludf.DUMMYFUNCTION("IMPORTRANGE(""https://docs.google.com/spreadsheets/d/1C3CXT74ZlgGe6_JY_1olB1XN4rF0dxEuIIF-xsYjHgg/edit?usp=sharing"",""งบกองทุน!w68"")"),500)</f>
        <v>500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IFERROR(__xludf.DUMMYFUNCTION("IMPORTRANGE(""https://docs.google.com/spreadsheets/d/1C3CXT74ZlgGe6_JY_1olB1XN4rF0dxEuIIF-xsYjHgg/edit?usp=sharing"",""งบกองทุน!x68"")"),50)</f>
        <v>50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90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95560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30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95560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IFERROR(__xludf.DUMMYFUNCTION("IMPORTRANGE(""https://docs.google.com/spreadsheets/d/1C3CXT74ZlgGe6_JY_1olB1XN4rF0dxEuIIF-xsYjHgg/edit?usp=sharing"",""งบกองทุน!z68"")"),0)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IFERROR(__xludf.DUMMYFUNCTION("IMPORTRANGE(""https://docs.google.com/spreadsheets/d/1C3CXT74ZlgGe6_JY_1olB1XN4rF0dxEuIIF-xsYjHgg/edit?usp=sharing"",""งบกองทุน!aa68"")"),95560)</f>
        <v>95560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30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IFERROR(__xludf.DUMMYFUNCTION("IMPORTRANGE(""https://docs.google.com/spreadsheets/d/1C3CXT74ZlgGe6_JY_1olB1XN4rF0dxEuIIF-xsYjHgg/edit?usp=sharing"",""งบกองทุน!ae68"")"),0)</f>
        <v>0</v>
      </c>
      <c r="J312" s="364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IFERROR(__xludf.DUMMYFUNCTION("IMPORTRANGE(""https://docs.google.com/spreadsheets/d/1C3CXT74ZlgGe6_JY_1olB1XN4rF0dxEuIIF-xsYjHgg/edit?usp=sharing"",""งบกองทุน!ad68"")"),0)</f>
        <v>0</v>
      </c>
      <c r="J313" s="364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IFERROR(__xludf.DUMMYFUNCTION("IMPORTRANGE(""https://docs.google.com/spreadsheets/d/1C3CXT74ZlgGe6_JY_1olB1XN4rF0dxEuIIF-xsYjHgg/edit?usp=sharing"",""งบกองทุน!af68"")"),0)</f>
        <v>0</v>
      </c>
      <c r="J314" s="365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IFERROR(__xludf.DUMMYFUNCTION("IMPORTRANGE(""https://docs.google.com/spreadsheets/d/1C3CXT74ZlgGe6_JY_1olB1XN4rF0dxEuIIF-xsYjHgg/edit?usp=sharing"",""งบกองทุน!ag68"")"),0)</f>
        <v>0</v>
      </c>
      <c r="J315" s="365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IFERROR(__xludf.DUMMYFUNCTION("IMPORTRANGE(""https://docs.google.com/spreadsheets/d/1C3CXT74ZlgGe6_JY_1olB1XN4rF0dxEuIIF-xsYjHgg/edit?usp=sharing"",""งบกองทุน!ai68"")"),16)</f>
        <v>16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IFERROR(__xludf.DUMMYFUNCTION("IMPORTRANGE(""https://docs.google.com/spreadsheets/d/1C3CXT74ZlgGe6_JY_1olB1XN4rF0dxEuIIF-xsYjHgg/edit?usp=sharing"",""งบกองทุน!ah68"")"),48)</f>
        <v>48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IFERROR(__xludf.DUMMYFUNCTION("IMPORTRANGE(""https://docs.google.com/spreadsheets/d/1C3CXT74ZlgGe6_JY_1olB1XN4rF0dxEuIIF-xsYjHgg/edit?usp=sharing"",""งบกองทุน!aj68"")"),16)</f>
        <v>16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IFERROR(__xludf.DUMMYFUNCTION("IMPORTRANGE(""https://docs.google.com/spreadsheets/d/1C3CXT74ZlgGe6_JY_1olB1XN4rF0dxEuIIF-xsYjHgg/edit?usp=sharing"",""งบกองทุน!ak68"")"),16)</f>
        <v>16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IFERROR(__xludf.DUMMYFUNCTION("IMPORTRANGE(""https://docs.google.com/spreadsheets/d/1C3CXT74ZlgGe6_JY_1olB1XN4rF0dxEuIIF-xsYjHgg/edit?usp=sharing"",""งบกองทุน!al68"")"),16)</f>
        <v>16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IFERROR(__xludf.DUMMYFUNCTION("IMPORTRANGE(""https://docs.google.com/spreadsheets/d/1C3CXT74ZlgGe6_JY_1olB1XN4rF0dxEuIIF-xsYjHgg/edit?usp=sharing"",""งบกองทุน!an68"")"),14)</f>
        <v>14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IFERROR(__xludf.DUMMYFUNCTION("IMPORTRANGE(""https://docs.google.com/spreadsheets/d/1C3CXT74ZlgGe6_JY_1olB1XN4rF0dxEuIIF-xsYjHgg/edit?usp=sharing"",""งบกองทุน!am68"")"),42)</f>
        <v>42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IFERROR(__xludf.DUMMYFUNCTION("IMPORTRANGE(""https://docs.google.com/spreadsheets/d/1C3CXT74ZlgGe6_JY_1olB1XN4rF0dxEuIIF-xsYjHgg/edit?usp=sharing"",""งบกองทุน!ao68"")"),14)</f>
        <v>14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IFERROR(__xludf.DUMMYFUNCTION("IMPORTRANGE(""https://docs.google.com/spreadsheets/d/1C3CXT74ZlgGe6_JY_1olB1XN4rF0dxEuIIF-xsYjHgg/edit?usp=sharing"",""งบกองทุน!ap68"")"),14)</f>
        <v>14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16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IFERROR(__xludf.DUMMYFUNCTION("IMPORTRANGE(""https://docs.google.com/spreadsheets/d/1C3CXT74ZlgGe6_JY_1olB1XN4rF0dxEuIIF-xsYjHgg/edit?usp=sharing"",""งบกองทุน!ar68"")"),0)</f>
        <v>0</v>
      </c>
      <c r="J326" s="365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IFERROR(__xludf.DUMMYFUNCTION("IMPORTRANGE(""https://docs.google.com/spreadsheets/d/1C3CXT74ZlgGe6_JY_1olB1XN4rF0dxEuIIF-xsYjHgg/edit?usp=sharing"",""งบกองทุน!as68"")"),16)</f>
        <v>16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71000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IFERROR(__xludf.DUMMYFUNCTION("IMPORTRANGE(""https://docs.google.com/spreadsheets/d/1C3CXT74ZlgGe6_JY_1olB1XN4rF0dxEuIIF-xsYjHgg/edit?usp=sharing"",""งบกองทุน!au68"")"),0)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IFERROR(__xludf.DUMMYFUNCTION("IMPORTRANGE(""https://docs.google.com/spreadsheets/d/1C3CXT74ZlgGe6_JY_1olB1XN4rF0dxEuIIF-xsYjHgg/edit?usp=sharing"",""งบกองทุน!av68"")"),71000)</f>
        <v>71000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IFERROR(__xludf.DUMMYFUNCTION("IMPORTRANGE(""https://docs.google.com/spreadsheets/d/1C3CXT74ZlgGe6_JY_1olB1XN4rF0dxEuIIF-xsYjHgg/edit?usp=sharing"",""งบกองทุน!ay68"")"),10)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IFERROR(__xludf.DUMMYFUNCTION("IMPORTRANGE(""https://docs.google.com/spreadsheets/d/1C3CXT74ZlgGe6_JY_1olB1XN4rF0dxEuIIF-xsYjHgg/edit?usp=sharing"",""งบกองทุน!az68"")"),0)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IFERROR(__xludf.DUMMYFUNCTION("IMPORTRANGE(""https://docs.google.com/spreadsheets/d/1C3CXT74ZlgGe6_JY_1olB1XN4rF0dxEuIIF-xsYjHgg/edit?usp=sharing"",""งบกองทุน!Ba68"")"),0)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19789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155069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155069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IFERROR(__xludf.DUMMYFUNCTION("IMPORTRANGE(""https://docs.google.com/spreadsheets/d/1C3CXT74ZlgGe6_JY_1olB1XN4rF0dxEuIIF-xsYjHgg/edit?usp=sharing"",""งบกองทุน!Bc68"")"),0)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IFERROR(__xludf.DUMMYFUNCTION("IMPORTRANGE(""https://docs.google.com/spreadsheets/d/1C3CXT74ZlgGe6_JY_1olB1XN4rF0dxEuIIF-xsYjHgg/edit?usp=sharing"",""งบกองทุน!Bd68"")"),155069)</f>
        <v>155069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IFERROR(__xludf.DUMMYFUNCTION("IMPORTRANGE(""https://docs.google.com/spreadsheets/d/1C3CXT74ZlgGe6_JY_1olB1XN4rF0dxEuIIF-xsYjHgg/edit?usp=sharing"",""งบกองทุน!BE68"")"),19789)</f>
        <v>19789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IFERROR(__xludf.DUMMYFUNCTION("IMPORTRANGE(""https://docs.google.com/spreadsheets/d/1C3CXT74ZlgGe6_JY_1olB1XN4rF0dxEuIIF-xsYjHgg/edit?usp=sharing"",""งบกองทุน!BE68"")"),19789)</f>
        <v>19789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IFERROR(__xludf.DUMMYFUNCTION("IMPORTRANGE(""https://docs.google.com/spreadsheets/d/1C3CXT74ZlgGe6_JY_1olB1XN4rF0dxEuIIF-xsYjHgg/edit?usp=sharing"",""งบกองทุน!Bf68"")"),2020)</f>
        <v>2020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19789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2020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19789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2020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IFERROR(__xludf.DUMMYFUNCTION("IMPORTRANGE(""https://docs.google.com/spreadsheets/d/1C3CXT74ZlgGe6_JY_1olB1XN4rF0dxEuIIF-xsYjHgg/edit?usp=sharing"",""งบกองทุน!cd68"")"),0)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IFERROR(__xludf.DUMMYFUNCTION("IMPORTRANGE(""https://docs.google.com/spreadsheets/d/1C3CXT74ZlgGe6_JY_1olB1XN4rF0dxEuIIF-xsYjHgg/edit?usp=sharing"",""งบกองทุน!cd68"")"),0)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IFERROR(__xludf.DUMMYFUNCTION("IMPORTRANGE(""https://docs.google.com/spreadsheets/d/1C3CXT74ZlgGe6_JY_1olB1XN4rF0dxEuIIF-xsYjHgg/edit?usp=sharing"",""งบกองทุน!cc68"")"),0)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IFERROR(__xludf.DUMMYFUNCTION("IMPORTRANGE(""https://docs.google.com/spreadsheets/d/1C3CXT74ZlgGe6_JY_1olB1XN4rF0dxEuIIF-xsYjHgg/edit?usp=sharing"",""งบกองทุน!cz68"")"),0)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IFERROR(__xludf.DUMMYFUNCTION("IMPORTRANGE(""https://docs.google.com/spreadsheets/d/1C3CXT74ZlgGe6_JY_1olB1XN4rF0dxEuIIF-xsYjHgg/edit?usp=sharing"",""งบกองทุน!cz68"")"),0)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IFERROR(__xludf.DUMMYFUNCTION("IMPORTRANGE(""https://docs.google.com/spreadsheets/d/1C3CXT74ZlgGe6_JY_1olB1XN4rF0dxEuIIF-xsYjHgg/edit?usp=sharing"",""งบกองทุน!cy68"")"),0)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IFERROR(__xludf.DUMMYFUNCTION("IMPORTRANGE(""https://docs.google.com/spreadsheets/d/1C3CXT74ZlgGe6_JY_1olB1XN4rF0dxEuIIF-xsYjHgg/edit?usp=sharing"",""งบกองทุน!db68"")"),0)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IFERROR(__xludf.DUMMYFUNCTION("IMPORTRANGE(""https://docs.google.com/spreadsheets/d/1C3CXT74ZlgGe6_JY_1olB1XN4rF0dxEuIIF-xsYjHgg/edit?usp=sharing"",""งบกองทุน!da68"")"),0)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IFERROR(__xludf.DUMMYFUNCTION("IMPORTRANGE(""https://docs.google.com/spreadsheets/d/1C3CXT74ZlgGe6_JY_1olB1XN4rF0dxEuIIF-xsYjHgg/edit?usp=sharing"",""งบกองทุน!dd68"")"),0)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IFERROR(__xludf.DUMMYFUNCTION("IMPORTRANGE(""https://docs.google.com/spreadsheets/d/1C3CXT74ZlgGe6_JY_1olB1XN4rF0dxEuIIF-xsYjHgg/edit?usp=sharing"",""งบกองทุน!dc68"")"),0)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IFERROR(__xludf.DUMMYFUNCTION("IMPORTRANGE(""https://docs.google.com/spreadsheets/d/1C3CXT74ZlgGe6_JY_1olB1XN4rF0dxEuIIF-xsYjHgg/edit?usp=sharing"",""งบกองทุน!df68"")"),0)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IFERROR(__xludf.DUMMYFUNCTION("IMPORTRANGE(""https://docs.google.com/spreadsheets/d/1C3CXT74ZlgGe6_JY_1olB1XN4rF0dxEuIIF-xsYjHgg/edit?usp=sharing"",""งบกองทุน!de68"")"),0)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IFERROR(__xludf.DUMMYFUNCTION("IMPORTRANGE(""https://docs.google.com/spreadsheets/d/1C3CXT74ZlgGe6_JY_1olB1XN4rF0dxEuIIF-xsYjHgg/edit?usp=sharing"",""งบกองทุน!dn68"")"),0)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IFERROR(__xludf.DUMMYFUNCTION("IMPORTRANGE(""https://docs.google.com/spreadsheets/d/1C3CXT74ZlgGe6_JY_1olB1XN4rF0dxEuIIF-xsYjHgg/edit?usp=sharing"",""งบกองทุน!do68"")"),34340)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IFERROR(__xludf.DUMMYFUNCTION("IMPORTRANGE(""https://docs.google.com/spreadsheets/d/1C3CXT74ZlgGe6_JY_1olB1XN4rF0dxEuIIF-xsYjHgg/edit?usp=sharing"",""งบกองทุน!dq68"")"),22)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IFERROR(__xludf.DUMMYFUNCTION("IMPORTRANGE(""https://docs.google.com/spreadsheets/d/1C3CXT74ZlgGe6_JY_1olB1XN4rF0dxEuIIF-xsYjHgg/edit?usp=sharing"",""งบกองทุน!dr68"")"),22)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IFERROR(__xludf.DUMMYFUNCTION("IMPORTRANGE(""https://docs.google.com/spreadsheets/d/1C3CXT74ZlgGe6_JY_1olB1XN4rF0dxEuIIF-xsYjHgg/edit?usp=sharing"",""งบกองทุน!dt68"")"),0)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IFERROR(__xludf.DUMMYFUNCTION("IMPORTRANGE(""https://docs.google.com/spreadsheets/d/1C3CXT74ZlgGe6_JY_1olB1XN4rF0dxEuIIF-xsYjHgg/edit?usp=sharing"",""งบกองทุน!du68"")"),0)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IFERROR(__xludf.DUMMYFUNCTION("IMPORTRANGE(""https://docs.google.com/spreadsheets/d/1C3CXT74ZlgGe6_JY_1olB1XN4rF0dxEuIIF-xsYjHgg/edit?usp=sharing"",""งบกองทุน!dw68"")"),0)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IFERROR(__xludf.DUMMYFUNCTION("IMPORTRANGE(""https://docs.google.com/spreadsheets/d/1C3CXT74ZlgGe6_JY_1olB1XN4rF0dxEuIIF-xsYjHgg/edit?usp=sharing"",""งบกองทุน!dx68"")"),0)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IFERROR(__xludf.DUMMYFUNCTION("IMPORTRANGE(""https://docs.google.com/spreadsheets/d/1C3CXT74ZlgGe6_JY_1olB1XN4rF0dxEuIIF-xsYjHgg/edit?usp=sharing"",""งบกองทุน!dy68"")"),0)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IFERROR(__xludf.DUMMYFUNCTION("IMPORTRANGE(""https://docs.google.com/spreadsheets/d/1C3CXT74ZlgGe6_JY_1olB1XN4rF0dxEuIIF-xsYjHgg/edit?usp=sharing"",""งบกองทุน!dz68"")"),0)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700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121520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121520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IFERROR(__xludf.DUMMYFUNCTION("IMPORTRANGE(""https://docs.google.com/spreadsheets/d/1C3CXT74ZlgGe6_JY_1olB1XN4rF0dxEuIIF-xsYjHgg/edit?usp=sharing"",""งบกองทุน!Eb68"")"),0)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IFERROR(__xludf.DUMMYFUNCTION("IMPORTRANGE(""https://docs.google.com/spreadsheets/d/1C3CXT74ZlgGe6_JY_1olB1XN4rF0dxEuIIF-xsYjHgg/edit?usp=sharing"",""งบกองทุน!Ec68"")"),121520)</f>
        <v>121520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IFERROR(__xludf.DUMMYFUNCTION("IMPORTRANGE(""https://docs.google.com/spreadsheets/d/1C3CXT74ZlgGe6_JY_1olB1XN4rF0dxEuIIF-xsYjHgg/edit?usp=sharing"",""งบกองทุน!Ed68"")"),700)</f>
        <v>700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IFERROR(__xludf.DUMMYFUNCTION("IMPORTRANGE(""https://docs.google.com/spreadsheets/d/1C3CXT74ZlgGe6_JY_1olB1XN4rF0dxEuIIF-xsYjHgg/edit?usp=sharing"",""งบกองทุน!Ek68"")"),0)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IFERROR(__xludf.DUMMYFUNCTION("IMPORTRANGE(""https://docs.google.com/spreadsheets/d/1C3CXT74ZlgGe6_JY_1olB1XN4rF0dxEuIIF-xsYjHgg/edit?usp=sharing"",""งบกองทุน!El68"")"),0)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IFERROR(__xludf.DUMMYFUNCTION("IMPORTRANGE(""https://docs.google.com/spreadsheets/d/1C3CXT74ZlgGe6_JY_1olB1XN4rF0dxEuIIF-xsYjHgg/edit?usp=sharing"",""งบกองทุน!Em68"")"),0)</f>
        <v>0</v>
      </c>
      <c r="J482" s="66">
        <f ca="1">IFERROR(__xludf.DUMMYFUNCTION("IMPORTRANGE(""https://docs.google.com/spreadsheets/d/1AGHcLOeeYFL3K4b9R1dSzyJy00PE_ra89DNTVfnxSWM/edit?usp=sharing"",""รวมที่ชุมชน!G57"")"),0)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IFERROR(__xludf.DUMMYFUNCTION("IMPORTRANGE(""https://docs.google.com/spreadsheets/d/1C3CXT74ZlgGe6_JY_1olB1XN4rF0dxEuIIF-xsYjHgg/edit?usp=sharing"",""งบกองทุน!En68"")"),0)</f>
        <v>0</v>
      </c>
      <c r="J483" s="66">
        <f ca="1">IFERROR(__xludf.DUMMYFUNCTION("IMPORTRANGE(""https://docs.google.com/spreadsheets/d/1AGHcLOeeYFL3K4b9R1dSzyJy00PE_ra89DNTVfnxSWM/edit?usp=sharing"",""รวมที่ชุมชน!H57"")"),0)</f>
        <v>0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IFERROR(__xludf.DUMMYFUNCTION("IMPORTRANGE(""https://docs.google.com/spreadsheets/d/1C3CXT74ZlgGe6_JY_1olB1XN4rF0dxEuIIF-xsYjHgg/edit?usp=sharing"",""งบกองทุน!Eo68"")"),0)</f>
        <v>0</v>
      </c>
      <c r="J484" s="66">
        <f ca="1">IFERROR(__xludf.DUMMYFUNCTION("IMPORTRANGE(""https://docs.google.com/spreadsheets/d/1AGHcLOeeYFL3K4b9R1dSzyJy00PE_ra89DNTVfnxSWM/edit?usp=sharing"",""รวมที่ชุมชน!J57"")"),0)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IFERROR(__xludf.DUMMYFUNCTION("IMPORTRANGE(""https://docs.google.com/spreadsheets/d/1C3CXT74ZlgGe6_JY_1olB1XN4rF0dxEuIIF-xsYjHgg/edit?usp=sharing"",""งบกองทุน!Ep68"")"),0)</f>
        <v>0</v>
      </c>
      <c r="J485" s="66">
        <f ca="1">IFERROR(__xludf.DUMMYFUNCTION("IMPORTRANGE(""https://docs.google.com/spreadsheets/d/1AGHcLOeeYFL3K4b9R1dSzyJy00PE_ra89DNTVfnxSWM/edit?usp=sharing"",""รวมที่ชุมชน!L57"")"),0)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IFERROR(__xludf.DUMMYFUNCTION("IMPORTRANGE(""https://docs.google.com/spreadsheets/d/1C3CXT74ZlgGe6_JY_1olB1XN4rF0dxEuIIF-xsYjHgg/edit?usp=sharing"",""งบกองทุน!Eq68"")"),0)</f>
        <v>0</v>
      </c>
      <c r="J486" s="66">
        <f ca="1">IFERROR(__xludf.DUMMYFUNCTION("IMPORTRANGE(""https://docs.google.com/spreadsheets/d/1AGHcLOeeYFL3K4b9R1dSzyJy00PE_ra89DNTVfnxSWM/edit?usp=sharing"",""รวมที่ชุมชน!S57"")"),0)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IFERROR(__xludf.DUMMYFUNCTION("IMPORTRANGE(""https://docs.google.com/spreadsheets/d/1C3CXT74ZlgGe6_JY_1olB1XN4rF0dxEuIIF-xsYjHgg/edit?usp=sharing"",""งบกองทุน!Er68"")"),0)</f>
        <v>0</v>
      </c>
      <c r="J487" s="66">
        <f ca="1">IFERROR(__xludf.DUMMYFUNCTION("IMPORTRANGE(""https://docs.google.com/spreadsheets/d/1AGHcLOeeYFL3K4b9R1dSzyJy00PE_ra89DNTVfnxSWM/edit?usp=sharing"",""รวมที่ชุมชน!U57"")"),0)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IFERROR(__xludf.DUMMYFUNCTION("IMPORTRANGE(""https://docs.google.com/spreadsheets/d/1C3CXT74ZlgGe6_JY_1olB1XN4rF0dxEuIIF-xsYjHgg/edit?usp=sharing"",""งบกองทุน!Es68"")"),0)</f>
        <v>0</v>
      </c>
      <c r="J488" s="66">
        <f ca="1">IFERROR(__xludf.DUMMYFUNCTION("IMPORTRANGE(""https://docs.google.com/spreadsheets/d/1AGHcLOeeYFL3K4b9R1dSzyJy00PE_ra89DNTVfnxSWM/edit?usp=sharing"",""รวมที่ชุมชน!V57"")"),0)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IFERROR(__xludf.DUMMYFUNCTION("IMPORTRANGE(""https://docs.google.com/spreadsheets/d/1C3CXT74ZlgGe6_JY_1olB1XN4rF0dxEuIIF-xsYjHgg/edit?usp=sharing"",""งบกองทุน!Et68"")"),0)</f>
        <v>0</v>
      </c>
      <c r="J489" s="111">
        <f ca="1">IFERROR(__xludf.DUMMYFUNCTION("IMPORTRANGE(""https://docs.google.com/spreadsheets/d/1AGHcLOeeYFL3K4b9R1dSzyJy00PE_ra89DNTVfnxSWM/edit?usp=sharing"",""รวมที่ชุมชน!X57"")"),0)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6950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6950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IFERROR(__xludf.DUMMYFUNCTION("IMPORTRANGE(""https://docs.google.com/spreadsheets/d/1C3CXT74ZlgGe6_JY_1olB1XN4rF0dxEuIIF-xsYjHgg/edit?usp=sharing"",""งบกองทุน!Ev68"")"),0)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IFERROR(__xludf.DUMMYFUNCTION("IMPORTRANGE(""https://docs.google.com/spreadsheets/d/1C3CXT74ZlgGe6_JY_1olB1XN4rF0dxEuIIF-xsYjHgg/edit?usp=sharing"",""งบกองทุน!Ew68"")"),6950)</f>
        <v>6950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IFERROR(__xludf.DUMMYFUNCTION("IMPORTRANGE(""https://docs.google.com/spreadsheets/d/1C3CXT74ZlgGe6_JY_1olB1XN4rF0dxEuIIF-xsYjHgg/edit?usp=sharing"",""งบกองทุน!EZ68"")"),50)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IFERROR(__xludf.DUMMYFUNCTION("IMPORTRANGE(""https://docs.google.com/spreadsheets/d/1C3CXT74ZlgGe6_JY_1olB1XN4rF0dxEuIIF-xsYjHgg/edit?usp=sharing"",""งบกองทุน!ff68"")"),0)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IFERROR(__xludf.DUMMYFUNCTION("IMPORTRANGE(""https://docs.google.com/spreadsheets/d/1muirlRDkqiswvy_NRZ3Yh955hx-PF6_HhssUYiSJj8o/edit?usp=sharing"",""กองทุน!D68"")"),1925793.17)</f>
        <v>1925793.17</v>
      </c>
      <c r="J521" s="199">
        <f ca="1">IFERROR(__xludf.DUMMYFUNCTION("IMPORTRANGE(""https://docs.google.com/spreadsheets/d/1muirlRDkqiswvy_NRZ3Yh955hx-PF6_HhssUYiSJj8o/edit?usp=sharing"",""กองทุน!F68"")"),7000)</f>
        <v>7000</v>
      </c>
      <c r="K521" s="200">
        <f t="shared" ref="K521:K528" ca="1" si="116">IF(I521&gt;0,J521*100/I521,0)</f>
        <v>0.36348659394196525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IFERROR(__xludf.DUMMYFUNCTION("IMPORTRANGE(""https://docs.google.com/spreadsheets/d/1muirlRDkqiswvy_NRZ3Yh955hx-PF6_HhssUYiSJj8o/edit?usp=sharing"",""กองทุน!C68"")"),145)</f>
        <v>145</v>
      </c>
      <c r="J522" s="199">
        <f ca="1">IFERROR(__xludf.DUMMYFUNCTION("IMPORTRANGE(""https://docs.google.com/spreadsheets/d/1muirlRDkqiswvy_NRZ3Yh955hx-PF6_HhssUYiSJj8o/edit?usp=sharing"",""กองทุน!E68"")"),4)</f>
        <v>4</v>
      </c>
      <c r="K522" s="200">
        <f t="shared" ca="1" si="116"/>
        <v>2.7586206896551726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IFERROR(__xludf.DUMMYFUNCTION("IMPORTRANGE(""https://docs.google.com/spreadsheets/d/1muirlRDkqiswvy_NRZ3Yh955hx-PF6_HhssUYiSJj8o/edit?usp=sharing"",""กองทุน!I68"")"),316455.56)</f>
        <v>316455.56</v>
      </c>
      <c r="J523" s="199">
        <f ca="1">IFERROR(__xludf.DUMMYFUNCTION("IMPORTRANGE(""https://docs.google.com/spreadsheets/d/1muirlRDkqiswvy_NRZ3Yh955hx-PF6_HhssUYiSJj8o/edit?usp=sharing"",""กองทุน!K68"")"),14246)</f>
        <v>14246</v>
      </c>
      <c r="K523" s="200">
        <f t="shared" ca="1" si="116"/>
        <v>4.5017379375480084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IFERROR(__xludf.DUMMYFUNCTION("IMPORTRANGE(""https://docs.google.com/spreadsheets/d/1muirlRDkqiswvy_NRZ3Yh955hx-PF6_HhssUYiSJj8o/edit?usp=sharing"",""กองทุน!H68"")"),22)</f>
        <v>22</v>
      </c>
      <c r="J524" s="199">
        <f ca="1">IFERROR(__xludf.DUMMYFUNCTION("IMPORTRANGE(""https://docs.google.com/spreadsheets/d/1muirlRDkqiswvy_NRZ3Yh955hx-PF6_HhssUYiSJj8o/edit?usp=sharing"",""กองทุน!J68"")"),11)</f>
        <v>11</v>
      </c>
      <c r="K524" s="200">
        <f t="shared" ca="1" si="116"/>
        <v>50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IFERROR(__xludf.DUMMYFUNCTION("IMPORTRANGE(""https://docs.google.com/spreadsheets/d/1muirlRDkqiswvy_NRZ3Yh955hx-PF6_HhssUYiSJj8o/edit?usp=sharing"",""กองทุน!N68"")"),0)</f>
        <v>0</v>
      </c>
      <c r="J525" s="199">
        <f ca="1">IFERROR(__xludf.DUMMYFUNCTION("IMPORTRANGE(""https://docs.google.com/spreadsheets/d/1muirlRDkqiswvy_NRZ3Yh955hx-PF6_HhssUYiSJj8o/edit?usp=sharing"",""กองทุน!P68"")"),0)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IFERROR(__xludf.DUMMYFUNCTION("IMPORTRANGE(""https://docs.google.com/spreadsheets/d/1muirlRDkqiswvy_NRZ3Yh955hx-PF6_HhssUYiSJj8o/edit?usp=sharing"",""กองทุน!M68"")"),0)</f>
        <v>0</v>
      </c>
      <c r="J526" s="199">
        <f ca="1">IFERROR(__xludf.DUMMYFUNCTION("IMPORTRANGE(""https://docs.google.com/spreadsheets/d/1muirlRDkqiswvy_NRZ3Yh955hx-PF6_HhssUYiSJj8o/edit?usp=sharing"",""กองทุน!O68"")"),0)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IFERROR(__xludf.DUMMYFUNCTION("IMPORTRANGE(""https://docs.google.com/spreadsheets/d/1muirlRDkqiswvy_NRZ3Yh955hx-PF6_HhssUYiSJj8o/edit?usp=sharing"",""กองทุน!S68"")"),2000000)</f>
        <v>2000000</v>
      </c>
      <c r="J527" s="199">
        <f ca="1">IFERROR(__xludf.DUMMYFUNCTION("IMPORTRANGE(""https://docs.google.com/spreadsheets/d/1muirlRDkqiswvy_NRZ3Yh955hx-PF6_HhssUYiSJj8o/edit?usp=sharing"",""กองทุน!U68"")"),0)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IFERROR(__xludf.DUMMYFUNCTION("IMPORTRANGE(""https://docs.google.com/spreadsheets/d/1muirlRDkqiswvy_NRZ3Yh955hx-PF6_HhssUYiSJj8o/edit?usp=sharing"",""กองทุน!R68"")"),45)</f>
        <v>45</v>
      </c>
      <c r="J528" s="324">
        <f ca="1">IFERROR(__xludf.DUMMYFUNCTION("IMPORTRANGE(""https://docs.google.com/spreadsheets/d/1muirlRDkqiswvy_NRZ3Yh955hx-PF6_HhssUYiSJj8o/edit?usp=sharing"",""กองทุน!T68"")"),0)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233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1526575</v>
      </c>
      <c r="M6" s="16">
        <f t="shared" si="0"/>
        <v>177598</v>
      </c>
      <c r="N6" s="17">
        <f ca="1">IF(L6&gt;0,M6*100/L6,0)</f>
        <v>11.633755301901315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IFERROR(__xludf.DUMMYFUNCTION("IMPORTRANGE(""https://docs.google.com/spreadsheets/d/1C3CXT74ZlgGe6_JY_1olB1XN4rF0dxEuIIF-xsYjHgg/edit?usp=sharing"",""พรบ!C69"")"),0)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IFERROR(__xludf.DUMMYFUNCTION("IMPORTRANGE(""https://docs.google.com/spreadsheets/d/1C3CXT74ZlgGe6_JY_1olB1XN4rF0dxEuIIF-xsYjHgg/edit?usp=sharing"",""พรบ!D69"")"),0)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IFERROR(__xludf.DUMMYFUNCTION("IMPORTRANGE(""https://docs.google.com/spreadsheets/d/1C3CXT74ZlgGe6_JY_1olB1XN4rF0dxEuIIF-xsYjHgg/edit?usp=sharing"",""พรบ!E69"")"),0)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IFERROR(__xludf.DUMMYFUNCTION("IMPORTRANGE(""https://docs.google.com/spreadsheets/d/1C3CXT74ZlgGe6_JY_1olB1XN4rF0dxEuIIF-xsYjHgg/edit?usp=sharing"",""พรบ!H69"")"),0)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IFERROR(__xludf.DUMMYFUNCTION("IMPORTRANGE(""https://docs.google.com/spreadsheets/d/1C3CXT74ZlgGe6_JY_1olB1XN4rF0dxEuIIF-xsYjHgg/edit?usp=sharing"",""พรบ!I69"")"),0)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IFERROR(__xludf.DUMMYFUNCTION("IMPORTRANGE(""https://docs.google.com/spreadsheets/d/1C3CXT74ZlgGe6_JY_1olB1XN4rF0dxEuIIF-xsYjHgg/edit?usp=sharing"",""พรบ!J69"")"),0)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IFERROR(__xludf.DUMMYFUNCTION("IMPORTRANGE(""https://docs.google.com/spreadsheets/d/1C3CXT74ZlgGe6_JY_1olB1XN4rF0dxEuIIF-xsYjHgg/edit?usp=sharing"",""พรบ!K69"")"),0)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IFERROR(__xludf.DUMMYFUNCTION("IMPORTRANGE(""https://docs.google.com/spreadsheets/d/1C3CXT74ZlgGe6_JY_1olB1XN4rF0dxEuIIF-xsYjHgg/edit?usp=sharing"",""พรบ!L69"")"),0)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IFERROR(__xludf.DUMMYFUNCTION("IMPORTRANGE(""https://docs.google.com/spreadsheets/d/1C3CXT74ZlgGe6_JY_1olB1XN4rF0dxEuIIF-xsYjHgg/edit?usp=sharing"",""พรบ!M69"")"),0)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IFERROR(__xludf.DUMMYFUNCTION("IMPORTRANGE(""https://docs.google.com/spreadsheets/d/1C3CXT74ZlgGe6_JY_1olB1XN4rF0dxEuIIF-xsYjHgg/edit?usp=sharing"",""พรบ!N69"")"),0)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IFERROR(__xludf.DUMMYFUNCTION("IMPORTRANGE(""https://docs.google.com/spreadsheets/d/1C3CXT74ZlgGe6_JY_1olB1XN4rF0dxEuIIF-xsYjHgg/edit?usp=sharing"",""พรบ!O69"")"),122100)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IFERROR(__xludf.DUMMYFUNCTION("IMPORTRANGE(""https://docs.google.com/spreadsheets/d/1C3CXT74ZlgGe6_JY_1olB1XN4rF0dxEuIIF-xsYjHgg/edit?usp=sharing"",""พรบ!P69"")"),0)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IFERROR(__xludf.DUMMYFUNCTION("IMPORTRANGE(""https://docs.google.com/spreadsheets/d/1C3CXT74ZlgGe6_JY_1olB1XN4rF0dxEuIIF-xsYjHgg/edit?usp=sharing"",""พรบ!Q69"")"),122100)</f>
        <v>122100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1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0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IFERROR(__xludf.DUMMYFUNCTION("IMPORTRANGE(""https://docs.google.com/spreadsheets/d/1C3CXT74ZlgGe6_JY_1olB1XN4rF0dxEuIIF-xsYjHgg/edit?usp=sharing"",""พรบ!R69"")"),1)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IFERROR(__xludf.DUMMYFUNCTION("IMPORTRANGE(""https://docs.google.com/spreadsheets/d/1C3CXT74ZlgGe6_JY_1olB1XN4rF0dxEuIIF-xsYjHgg/edit?usp=sharing"",""พรบ!S69"")"),4)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IFERROR(__xludf.DUMMYFUNCTION("IMPORTRANGE(""https://docs.google.com/spreadsheets/d/1C3CXT74ZlgGe6_JY_1olB1XN4rF0dxEuIIF-xsYjHgg/edit?usp=sharing"",""พรบ!T69"")"),4)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IFERROR(__xludf.DUMMYFUNCTION("IMPORTRANGE(""https://docs.google.com/spreadsheets/d/1C3CXT74ZlgGe6_JY_1olB1XN4rF0dxEuIIF-xsYjHgg/edit?usp=sharing"",""พรบ!U69"")"),4)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IFERROR(__xludf.DUMMYFUNCTION("IMPORTRANGE(""https://docs.google.com/spreadsheets/d/1C3CXT74ZlgGe6_JY_1olB1XN4rF0dxEuIIF-xsYjHgg/edit?usp=sharing"",""พรบ!V69"")"),4)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IFERROR(__xludf.DUMMYFUNCTION("IMPORTRANGE(""https://docs.google.com/spreadsheets/d/1C3CXT74ZlgGe6_JY_1olB1XN4rF0dxEuIIF-xsYjHgg/edit?usp=sharing"",""พรบ!W69"")"),1)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IFERROR(__xludf.DUMMYFUNCTION("IMPORTRANGE(""https://docs.google.com/spreadsheets/d/1C3CXT74ZlgGe6_JY_1olB1XN4rF0dxEuIIF-xsYjHgg/edit?usp=sharing"",""พรบ!Y69"")"),0)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IFERROR(__xludf.DUMMYFUNCTION("IMPORTRANGE(""https://docs.google.com/spreadsheets/d/1C3CXT74ZlgGe6_JY_1olB1XN4rF0dxEuIIF-xsYjHgg/edit?usp=sharing"",""พรบ!Z69"")"),0)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IFERROR(__xludf.DUMMYFUNCTION("IMPORTRANGE(""https://docs.google.com/spreadsheets/d/1C3CXT74ZlgGe6_JY_1olB1XN4rF0dxEuIIF-xsYjHgg/edit?usp=sharing"",""พรบ!AA69"")"),0)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20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431300</v>
      </c>
      <c r="M68" s="138">
        <f t="shared" si="16"/>
        <v>40774</v>
      </c>
      <c r="N68" s="137">
        <f ca="1">IF(L68&gt;0,M68*100/L68,0)</f>
        <v>9.4537444933920707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431300</v>
      </c>
      <c r="M71" s="139">
        <f>SUM(M72:M73)</f>
        <v>40774</v>
      </c>
      <c r="N71" s="49">
        <f t="shared" ca="1" si="17"/>
        <v>9.4537444933920707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IFERROR(__xludf.DUMMYFUNCTION("IMPORTRANGE(""https://docs.google.com/spreadsheets/d/1C3CXT74ZlgGe6_JY_1olB1XN4rF0dxEuIIF-xsYjHgg/edit?usp=sharing"",""พรบ!AD69"")"),305000)</f>
        <v>305000</v>
      </c>
      <c r="M72" s="53">
        <v>40774</v>
      </c>
      <c r="N72" s="52">
        <f t="shared" ca="1" si="17"/>
        <v>13.368524590163934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126300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IFERROR(__xludf.DUMMYFUNCTION("IMPORTRANGE(""https://docs.google.com/spreadsheets/d/1C3CXT74ZlgGe6_JY_1olB1XN4rF0dxEuIIF-xsYjHgg/edit?usp=sharing"",""พรบ!AF69"")"),7500)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IFERROR(__xludf.DUMMYFUNCTION("IMPORTRANGE(""https://docs.google.com/spreadsheets/d/1C3CXT74ZlgGe6_JY_1olB1XN4rF0dxEuIIF-xsYjHgg/edit?usp=sharing"",""พรบ!AG69"")"),4)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IFERROR(__xludf.DUMMYFUNCTION("IMPORTRANGE(""https://docs.google.com/spreadsheets/d/1C3CXT74ZlgGe6_JY_1olB1XN4rF0dxEuIIF-xsYjHgg/edit?usp=sharing"",""พรบ!AH69"")"),42000)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IFERROR(__xludf.DUMMYFUNCTION("IMPORTRANGE(""https://docs.google.com/spreadsheets/d/1C3CXT74ZlgGe6_JY_1olB1XN4rF0dxEuIIF-xsYjHgg/edit?usp=sharing"",""พรบ!AI69"")"),3)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IFERROR(__xludf.DUMMYFUNCTION("IMPORTRANGE(""https://docs.google.com/spreadsheets/d/1C3CXT74ZlgGe6_JY_1olB1XN4rF0dxEuIIF-xsYjHgg/edit?usp=sharing"",""กปร!C69"")"),36000)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IFERROR(__xludf.DUMMYFUNCTION("IMPORTRANGE(""https://docs.google.com/spreadsheets/d/1C3CXT74ZlgGe6_JY_1olB1XN4rF0dxEuIIF-xsYjHgg/edit?usp=sharing"",""พรบ!AJ69"")"),0)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IFERROR(__xludf.DUMMYFUNCTION("IMPORTRANGE(""https://docs.google.com/spreadsheets/d/1C3CXT74ZlgGe6_JY_1olB1XN4rF0dxEuIIF-xsYjHgg/edit?usp=sharing"",""พรบ!AK69"")"),0)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IFERROR(__xludf.DUMMYFUNCTION("IMPORTRANGE(""https://docs.google.com/spreadsheets/d/1C3CXT74ZlgGe6_JY_1olB1XN4rF0dxEuIIF-xsYjHgg/edit?usp=sharing"",""กปร!D69"")"),0)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IFERROR(__xludf.DUMMYFUNCTION("IMPORTRANGE(""https://docs.google.com/spreadsheets/d/1C3CXT74ZlgGe6_JY_1olB1XN4rF0dxEuIIF-xsYjHgg/edit?usp=sharing"",""พรบ!AL69"")"),0)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IFERROR(__xludf.DUMMYFUNCTION("IMPORTRANGE(""https://docs.google.com/spreadsheets/d/1C3CXT74ZlgGe6_JY_1olB1XN4rF0dxEuIIF-xsYjHgg/edit?usp=sharing"",""กปร!E69"")"),0)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IFERROR(__xludf.DUMMYFUNCTION("IMPORTRANGE(""https://docs.google.com/spreadsheets/d/1C3CXT74ZlgGe6_JY_1olB1XN4rF0dxEuIIF-xsYjHgg/edit?usp=sharing"",""พรบ!AM69"")"),9000)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IFERROR(__xludf.DUMMYFUNCTION("IMPORTRANGE(""https://docs.google.com/spreadsheets/d/1C3CXT74ZlgGe6_JY_1olB1XN4rF0dxEuIIF-xsYjHgg/edit?usp=sharing"",""พรบ!AO69"")"),20000)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IFERROR(__xludf.DUMMYFUNCTION("IMPORTRANGE(""https://docs.google.com/spreadsheets/d/1C3CXT74ZlgGe6_JY_1olB1XN4rF0dxEuIIF-xsYjHgg/edit?usp=sharing"",""พรบ!AP69"")"),20000)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IFERROR(__xludf.DUMMYFUNCTION("IMPORTRANGE(""https://docs.google.com/spreadsheets/d/1C3CXT74ZlgGe6_JY_1olB1XN4rF0dxEuIIF-xsYjHgg/edit?usp=sharing"",""กปร!F69"")"),5000)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IFERROR(__xludf.DUMMYFUNCTION("IMPORTRANGE(""https://docs.google.com/spreadsheets/d/1C3CXT74ZlgGe6_JY_1olB1XN4rF0dxEuIIF-xsYjHgg/edit?usp=sharing"",""พรบ!AQ69"")"),0)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IFERROR(__xludf.DUMMYFUNCTION("IMPORTRANGE(""https://docs.google.com/spreadsheets/d/1C3CXT74ZlgGe6_JY_1olB1XN4rF0dxEuIIF-xsYjHgg/edit?usp=sharing"",""กปร!G69"")"),0)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234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20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67800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67800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IFERROR(__xludf.DUMMYFUNCTION("IMPORTRANGE(""https://docs.google.com/spreadsheets/d/1C3CXT74ZlgGe6_JY_1olB1XN4rF0dxEuIIF-xsYjHgg/edit?usp=sharing"",""พรบ!AR69"")"),67800)</f>
        <v>67800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1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IFERROR(__xludf.DUMMYFUNCTION("IMPORTRANGE(""https://docs.google.com/spreadsheets/d/1C3CXT74ZlgGe6_JY_1olB1XN4rF0dxEuIIF-xsYjHgg/edit?usp=sharing"",""พรบ!AS69"")"),20)</f>
        <v>20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IFERROR(__xludf.DUMMYFUNCTION("IMPORTRANGE(""https://docs.google.com/spreadsheets/d/1C3CXT74ZlgGe6_JY_1olB1XN4rF0dxEuIIF-xsYjHgg/edit?usp=sharing"",""กปร!H69"")"),40800)</f>
        <v>40800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IFERROR(__xludf.DUMMYFUNCTION("IMPORTRANGE(""https://docs.google.com/spreadsheets/d/1C3CXT74ZlgGe6_JY_1olB1XN4rF0dxEuIIF-xsYjHgg/edit?usp=sharing"",""พรบ!AT69"")"),1)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IFERROR(__xludf.DUMMYFUNCTION("IMPORTRANGE(""https://docs.google.com/spreadsheets/d/1C3CXT74ZlgGe6_JY_1olB1XN4rF0dxEuIIF-xsYjHgg/edit?usp=sharing"",""กปร!I69"")"),0)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IFERROR(__xludf.DUMMYFUNCTION("IMPORTRANGE(""https://docs.google.com/spreadsheets/d/1C3CXT74ZlgGe6_JY_1olB1XN4rF0dxEuIIF-xsYjHgg/edit?usp=sharing"",""พรบ!AU69"")"),0)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IFERROR(__xludf.DUMMYFUNCTION("IMPORTRANGE(""https://docs.google.com/spreadsheets/d/1C3CXT74ZlgGe6_JY_1olB1XN4rF0dxEuIIF-xsYjHgg/edit?usp=sharing"",""กปร!J69"")"),10000)</f>
        <v>10000</v>
      </c>
      <c r="M141" s="361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IFERROR(__xludf.DUMMYFUNCTION("IMPORTRANGE(""https://docs.google.com/spreadsheets/d/1C3CXT74ZlgGe6_JY_1olB1XN4rF0dxEuIIF-xsYjHgg/edit?usp=sharing"",""พรบ!AY69"")"),21125)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1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IFERROR(__xludf.DUMMYFUNCTION("IMPORTRANGE(""https://docs.google.com/spreadsheets/d/1C3CXT74ZlgGe6_JY_1olB1XN4rF0dxEuIIF-xsYjHgg/edit?usp=sharing"",""พรบ!BA69"")"),15)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71400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IFERROR(__xludf.DUMMYFUNCTION("IMPORTRANGE(""https://docs.google.com/spreadsheets/d/1C3CXT74ZlgGe6_JY_1olB1XN4rF0dxEuIIF-xsYjHgg/edit?usp=sharing"",""พรบ!BD69"")"),0)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IFERROR(__xludf.DUMMYFUNCTION("IMPORTRANGE(""https://docs.google.com/spreadsheets/d/1C3CXT74ZlgGe6_JY_1olB1XN4rF0dxEuIIF-xsYjHgg/edit?usp=sharing"",""พรบ!BE69"")"),71400)</f>
        <v>71400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IFERROR(__xludf.DUMMYFUNCTION("IMPORTRANGE(""https://docs.google.com/spreadsheets/d/1C3CXT74ZlgGe6_JY_1olB1XN4rF0dxEuIIF-xsYjHgg/edit?usp=sharing"",""พรบ!BF69"")"),1)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IFERROR(__xludf.DUMMYFUNCTION("IMPORTRANGE(""https://docs.google.com/spreadsheets/d/1C3CXT74ZlgGe6_JY_1olB1XN4rF0dxEuIIF-xsYjHgg/edit?usp=sharing"",""พรบ!BG69"")"),20)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IFERROR(__xludf.DUMMYFUNCTION("IMPORTRANGE(""https://docs.google.com/spreadsheets/d/1C3CXT74ZlgGe6_JY_1olB1XN4rF0dxEuIIF-xsYjHgg/edit?usp=sharing"",""พรบ!BH69"")"),20)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IFERROR(__xludf.DUMMYFUNCTION("IMPORTRANGE(""https://docs.google.com/spreadsheets/d/1C3CXT74ZlgGe6_JY_1olB1XN4rF0dxEuIIF-xsYjHgg/edit?usp=sharing"",""พรบ!BI69"")"),1)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IFERROR(__xludf.DUMMYFUNCTION("IMPORTRANGE(""https://docs.google.com/spreadsheets/d/1C3CXT74ZlgGe6_JY_1olB1XN4rF0dxEuIIF-xsYjHgg/edit?usp=sharing"",""พรบ!BK69"")"),0)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IFERROR(__xludf.DUMMYFUNCTION("IMPORTRANGE(""https://docs.google.com/spreadsheets/d/1C3CXT74ZlgGe6_JY_1olB1XN4rF0dxEuIIF-xsYjHgg/edit?usp=sharing"",""พรบ!BL69"")"),0)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IFERROR(__xludf.DUMMYFUNCTION("IMPORTRANGE(""https://docs.google.com/spreadsheets/d/1C3CXT74ZlgGe6_JY_1olB1XN4rF0dxEuIIF-xsYjHgg/edit?usp=sharing"",""พรบ!BM69"")"),0)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IFERROR(__xludf.DUMMYFUNCTION("IMPORTRANGE(""https://docs.google.com/spreadsheets/d/1C3CXT74ZlgGe6_JY_1olB1XN4rF0dxEuIIF-xsYjHgg/edit?usp=sharing"",""พรบ!BP69"")"),0)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52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52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52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52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52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IFERROR(__xludf.DUMMYFUNCTION("IMPORTRANGE(""https://docs.google.com/spreadsheets/d/1C3CXT74ZlgGe6_JY_1olB1XN4rF0dxEuIIF-xsYjHgg/edit?usp=sharing"",""พรบ!BQ69"")"),0)</f>
        <v>0</v>
      </c>
      <c r="J209" s="66">
        <v>0</v>
      </c>
      <c r="K209" s="232">
        <f ca="1">IF(I209&gt;0,J209*100/I209,0)</f>
        <v>0</v>
      </c>
      <c r="L209" s="52"/>
      <c r="M209" s="52"/>
      <c r="N209" s="52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52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IFERROR(__xludf.DUMMYFUNCTION("IMPORTRANGE(""https://docs.google.com/spreadsheets/d/1C3CXT74ZlgGe6_JY_1olB1XN4rF0dxEuIIF-xsYjHgg/edit?usp=sharing"",""พรบ!BR69"")"),0)</f>
        <v>0</v>
      </c>
      <c r="J211" s="66">
        <v>0</v>
      </c>
      <c r="K211" s="232">
        <f ca="1">IF(I211&gt;0,J211*100/I211,0)</f>
        <v>0</v>
      </c>
      <c r="L211" s="52"/>
      <c r="M211" s="52"/>
      <c r="N211" s="52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52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52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IFERROR(__xludf.DUMMYFUNCTION("IMPORTRANGE(""https://docs.google.com/spreadsheets/d/1C3CXT74ZlgGe6_JY_1olB1XN4rF0dxEuIIF-xsYjHgg/edit?usp=sharing"",""พรบ!BU69"")"),0)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IFERROR(__xludf.DUMMYFUNCTION("IMPORTRANGE(""https://docs.google.com/spreadsheets/d/1C3CXT74ZlgGe6_JY_1olB1XN4rF0dxEuIIF-xsYjHgg/edit?usp=sharing"",""พรบ!BV69"")"),0)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95</v>
      </c>
      <c r="J228" s="197">
        <f ca="1">J240</f>
        <v>5</v>
      </c>
      <c r="K228" s="178">
        <f ca="1">IF(I228&gt;0,J228*100/I228,0)</f>
        <v>5.2631578947368425</v>
      </c>
      <c r="L228" s="179">
        <f ca="1">L229+L230</f>
        <v>880650</v>
      </c>
      <c r="M228" s="179">
        <f>SUM(M229:M230)</f>
        <v>136824</v>
      </c>
      <c r="N228" s="178">
        <f ca="1">IF(L228&gt;0,M228*100/L228,0)</f>
        <v>15.536705842275591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880650</v>
      </c>
      <c r="M230" s="52">
        <f t="shared" si="51"/>
        <v>136824</v>
      </c>
      <c r="N230" s="52">
        <f t="shared" ca="1" si="50"/>
        <v>15.536705842275591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IFERROR(__xludf.DUMMYFUNCTION("IMPORTRANGE(""https://docs.google.com/spreadsheets/d/1C3CXT74ZlgGe6_JY_1olB1XN4rF0dxEuIIF-xsYjHgg/edit?usp=sharing"",""พรบ!BX69"")"),583200)</f>
        <v>583200</v>
      </c>
      <c r="M231" s="53">
        <v>128684</v>
      </c>
      <c r="N231" s="52">
        <f t="shared" ca="1" si="50"/>
        <v>22.065157750342937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IFERROR(__xludf.DUMMYFUNCTION("IMPORTRANGE(""https://docs.google.com/spreadsheets/d/1C3CXT74ZlgGe6_JY_1olB1XN4rF0dxEuIIF-xsYjHgg/edit?usp=sharing"",""พรบ!BY69"")"),297450)</f>
        <v>297450</v>
      </c>
      <c r="M232" s="53">
        <v>8140</v>
      </c>
      <c r="N232" s="52">
        <f t="shared" ca="1" si="50"/>
        <v>2.7365943856110269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IFERROR(__xludf.DUMMYFUNCTION("IMPORTRANGE(""https://docs.google.com/spreadsheets/d/1AGHcLOeeYFL3K4b9R1dSzyJy00PE_ra89DNTVfnxSWM/edit?usp=sharing"",""รวมที่ทำกิน!J58"")"),17)</f>
        <v>17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IFERROR(__xludf.DUMMYFUNCTION("IMPORTRANGE(""https://docs.google.com/spreadsheets/d/1C3CXT74ZlgGe6_JY_1olB1XN4rF0dxEuIIF-xsYjHgg/edit?usp=sharing"",""พรบ!BZ69"")"),1400)</f>
        <v>1400</v>
      </c>
      <c r="J235" s="66">
        <f ca="1">IFERROR(__xludf.DUMMYFUNCTION("IMPORTRANGE(""https://docs.google.com/spreadsheets/d/1AGHcLOeeYFL3K4b9R1dSzyJy00PE_ra89DNTVfnxSWM/edit?usp=sharing"",""รวมที่ทำกิน!L58"")"),182.36)</f>
        <v>182.36</v>
      </c>
      <c r="K235" s="200">
        <f t="shared" ca="1" si="52"/>
        <v>13.025714285714285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IFERROR(__xludf.DUMMYFUNCTION("IMPORTRANGE(""https://docs.google.com/spreadsheets/d/1C3CXT74ZlgGe6_JY_1olB1XN4rF0dxEuIIF-xsYjHgg/edit?usp=sharing"",""พรบ!CA69"")"),95)</f>
        <v>95</v>
      </c>
      <c r="J236" s="66">
        <f ca="1">IFERROR(__xludf.DUMMYFUNCTION("IMPORTRANGE(""https://docs.google.com/spreadsheets/d/1AGHcLOeeYFL3K4b9R1dSzyJy00PE_ra89DNTVfnxSWM/edit?usp=sharing"",""รวมที่ทำกิน!O58"")"),15)</f>
        <v>15</v>
      </c>
      <c r="K236" s="200">
        <f t="shared" ca="1" si="52"/>
        <v>15.789473684210526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IFERROR(__xludf.DUMMYFUNCTION("IMPORTRANGE(""https://docs.google.com/spreadsheets/d/1AGHcLOeeYFL3K4b9R1dSzyJy00PE_ra89DNTVfnxSWM/edit?usp=sharing"",""รวมที่ทำกิน!Q58"")"),181.4)</f>
        <v>181.4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IFERROR(__xludf.DUMMYFUNCTION("IMPORTRANGE(""https://docs.google.com/spreadsheets/d/1C3CXT74ZlgGe6_JY_1olB1XN4rF0dxEuIIF-xsYjHgg/edit?usp=sharing"",""พรบ!CB69"")"),95)</f>
        <v>95</v>
      </c>
      <c r="J238" s="66">
        <f ca="1">IFERROR(__xludf.DUMMYFUNCTION("IMPORTRANGE(""https://docs.google.com/spreadsheets/d/1AGHcLOeeYFL3K4b9R1dSzyJy00PE_ra89DNTVfnxSWM/edit?usp=sharing"",""รวมที่ทำกิน!S58"")"),0)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IFERROR(__xludf.DUMMYFUNCTION("IMPORTRANGE(""https://docs.google.com/spreadsheets/d/1AGHcLOeeYFL3K4b9R1dSzyJy00PE_ra89DNTVfnxSWM/edit?usp=sharing"",""รวมที่ทำกิน!U58"")"),0)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IFERROR(__xludf.DUMMYFUNCTION("IMPORTRANGE(""https://docs.google.com/spreadsheets/d/1C3CXT74ZlgGe6_JY_1olB1XN4rF0dxEuIIF-xsYjHgg/edit?usp=sharing"",""พรบ!CC69"")"),95)</f>
        <v>95</v>
      </c>
      <c r="J240" s="66">
        <f ca="1">IFERROR(__xludf.DUMMYFUNCTION("IMPORTRANGE(""https://docs.google.com/spreadsheets/d/1AGHcLOeeYFL3K4b9R1dSzyJy00PE_ra89DNTVfnxSWM/edit?usp=sharing"",""รวมที่ทำกิน!W58"")"),5)</f>
        <v>5</v>
      </c>
      <c r="K240" s="200">
        <f t="shared" ca="1" si="52"/>
        <v>5.2631578947368425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IFERROR(__xludf.DUMMYFUNCTION("IMPORTRANGE(""https://docs.google.com/spreadsheets/d/1AGHcLOeeYFL3K4b9R1dSzyJy00PE_ra89DNTVfnxSWM/edit?usp=sharing"",""รวมที่ทำกิน!Y58"")"),79.39)</f>
        <v>79.39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819826</v>
      </c>
      <c r="M242" s="213">
        <f t="shared" si="53"/>
        <v>9516</v>
      </c>
      <c r="N242" s="213">
        <f ca="1">+IF(L242&gt;0,M242*100/L242,0)</f>
        <v>1.1607341069934352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60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93120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20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93120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IFERROR(__xludf.DUMMYFUNCTION("IMPORTRANGE(""https://docs.google.com/spreadsheets/d/1C3CXT74ZlgGe6_JY_1olB1XN4rF0dxEuIIF-xsYjHgg/edit?usp=sharing"",""งบกองทุน!d69"")"),0)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IFERROR(__xludf.DUMMYFUNCTION("IMPORTRANGE(""https://docs.google.com/spreadsheets/d/1C3CXT74ZlgGe6_JY_1olB1XN4rF0dxEuIIF-xsYjHgg/edit?usp=sharing"",""งบกองทุน!e69"")"),93120)</f>
        <v>93120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1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IFERROR(__xludf.DUMMYFUNCTION("IMPORTRANGE(""https://docs.google.com/spreadsheets/d/1C3CXT74ZlgGe6_JY_1olB1XN4rF0dxEuIIF-xsYjHgg/edit?usp=sharing"",""งบกองทุน!f69"")"),0)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60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IFERROR(__xludf.DUMMYFUNCTION("IMPORTRANGE(""https://docs.google.com/spreadsheets/d/1C3CXT74ZlgGe6_JY_1olB1XN4rF0dxEuIIF-xsYjHgg/edit?usp=sharing"",""งบกองทุน!H69"")"),20)</f>
        <v>20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IFERROR(__xludf.DUMMYFUNCTION("IMPORTRANGE(""https://docs.google.com/spreadsheets/d/1C3CXT74ZlgGe6_JY_1olB1XN4rF0dxEuIIF-xsYjHgg/edit?usp=sharing"",""งบกองทุน!i69"")"),60)</f>
        <v>60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20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IFERROR(__xludf.DUMMYFUNCTION("IMPORTRANGE(""https://docs.google.com/spreadsheets/d/1C3CXT74ZlgGe6_JY_1olB1XN4rF0dxEuIIF-xsYjHgg/edit?usp=sharing"",""งบกองทุน!k69"")"),0)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20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IFERROR(__xludf.DUMMYFUNCTION("IMPORTRANGE(""https://docs.google.com/spreadsheets/d/1C3CXT74ZlgGe6_JY_1olB1XN4rF0dxEuIIF-xsYjHgg/edit?usp=sharing"",""งบกองทุน!m69"")"),0)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60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IFERROR(__xludf.DUMMYFUNCTION("IMPORTRANGE(""https://docs.google.com/spreadsheets/d/1C3CXT74ZlgGe6_JY_1olB1XN4rF0dxEuIIF-xsYjHgg/edit?usp=sharing"",""งบกองทุน!o69"")"),0)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IFERROR(__xludf.DUMMYFUNCTION("IMPORTRANGE(""https://docs.google.com/spreadsheets/d/1C3CXT74ZlgGe6_JY_1olB1XN4rF0dxEuIIF-xsYjHgg/edit?usp=sharing"",""งบกองทุน!p69"")"),60)</f>
        <v>60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207560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207560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IFERROR(__xludf.DUMMYFUNCTION("IMPORTRANGE(""https://docs.google.com/spreadsheets/d/1C3CXT74ZlgGe6_JY_1olB1XN4rF0dxEuIIF-xsYjHgg/edit?usp=sharing"",""งบกองทุน!r69"")"),0)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IFERROR(__xludf.DUMMYFUNCTION("IMPORTRANGE(""https://docs.google.com/spreadsheets/d/1C3CXT74ZlgGe6_JY_1olB1XN4rF0dxEuIIF-xsYjHgg/edit?usp=sharing"",""งบกองทุน!s69"")"),207560)</f>
        <v>207560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1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IFERROR(__xludf.DUMMYFUNCTION("IMPORTRANGE(""https://docs.google.com/spreadsheets/d/1C3CXT74ZlgGe6_JY_1olB1XN4rF0dxEuIIF-xsYjHgg/edit?usp=sharing"",""งบกองทุน!v69"")"),20)</f>
        <v>20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IFERROR(__xludf.DUMMYFUNCTION("IMPORTRANGE(""https://docs.google.com/spreadsheets/d/1C3CXT74ZlgGe6_JY_1olB1XN4rF0dxEuIIF-xsYjHgg/edit?usp=sharing"",""งบกองทุน!w69"")"),200)</f>
        <v>200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IFERROR(__xludf.DUMMYFUNCTION("IMPORTRANGE(""https://docs.google.com/spreadsheets/d/1C3CXT74ZlgGe6_JY_1olB1XN4rF0dxEuIIF-xsYjHgg/edit?usp=sharing"",""งบกองทุน!x69"")"),20)</f>
        <v>20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90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116320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30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116320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IFERROR(__xludf.DUMMYFUNCTION("IMPORTRANGE(""https://docs.google.com/spreadsheets/d/1C3CXT74ZlgGe6_JY_1olB1XN4rF0dxEuIIF-xsYjHgg/edit?usp=sharing"",""งบกองทุน!z69"")"),0)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IFERROR(__xludf.DUMMYFUNCTION("IMPORTRANGE(""https://docs.google.com/spreadsheets/d/1C3CXT74ZlgGe6_JY_1olB1XN4rF0dxEuIIF-xsYjHgg/edit?usp=sharing"",""งบกองทุน!aa69"")"),116320)</f>
        <v>116320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30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IFERROR(__xludf.DUMMYFUNCTION("IMPORTRANGE(""https://docs.google.com/spreadsheets/d/1C3CXT74ZlgGe6_JY_1olB1XN4rF0dxEuIIF-xsYjHgg/edit?usp=sharing"",""งบกองทุน!ae69"")"),10)</f>
        <v>10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IFERROR(__xludf.DUMMYFUNCTION("IMPORTRANGE(""https://docs.google.com/spreadsheets/d/1C3CXT74ZlgGe6_JY_1olB1XN4rF0dxEuIIF-xsYjHgg/edit?usp=sharing"",""งบกองทุน!ad69"")"),30)</f>
        <v>30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IFERROR(__xludf.DUMMYFUNCTION("IMPORTRANGE(""https://docs.google.com/spreadsheets/d/1C3CXT74ZlgGe6_JY_1olB1XN4rF0dxEuIIF-xsYjHgg/edit?usp=sharing"",""งบกองทุน!af69"")"),10)</f>
        <v>10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IFERROR(__xludf.DUMMYFUNCTION("IMPORTRANGE(""https://docs.google.com/spreadsheets/d/1C3CXT74ZlgGe6_JY_1olB1XN4rF0dxEuIIF-xsYjHgg/edit?usp=sharing"",""งบกองทุน!ag69"")"),10)</f>
        <v>10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IFERROR(__xludf.DUMMYFUNCTION("IMPORTRANGE(""https://docs.google.com/spreadsheets/d/1C3CXT74ZlgGe6_JY_1olB1XN4rF0dxEuIIF-xsYjHgg/edit?usp=sharing"",""งบกองทุน!ai69"")"),10)</f>
        <v>10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IFERROR(__xludf.DUMMYFUNCTION("IMPORTRANGE(""https://docs.google.com/spreadsheets/d/1C3CXT74ZlgGe6_JY_1olB1XN4rF0dxEuIIF-xsYjHgg/edit?usp=sharing"",""งบกองทุน!ah69"")"),30)</f>
        <v>30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IFERROR(__xludf.DUMMYFUNCTION("IMPORTRANGE(""https://docs.google.com/spreadsheets/d/1C3CXT74ZlgGe6_JY_1olB1XN4rF0dxEuIIF-xsYjHgg/edit?usp=sharing"",""งบกองทุน!aj69"")"),10)</f>
        <v>10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IFERROR(__xludf.DUMMYFUNCTION("IMPORTRANGE(""https://docs.google.com/spreadsheets/d/1C3CXT74ZlgGe6_JY_1olB1XN4rF0dxEuIIF-xsYjHgg/edit?usp=sharing"",""งบกองทุน!ak69"")"),10)</f>
        <v>10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IFERROR(__xludf.DUMMYFUNCTION("IMPORTRANGE(""https://docs.google.com/spreadsheets/d/1C3CXT74ZlgGe6_JY_1olB1XN4rF0dxEuIIF-xsYjHgg/edit?usp=sharing"",""งบกองทุน!al69"")"),10)</f>
        <v>10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IFERROR(__xludf.DUMMYFUNCTION("IMPORTRANGE(""https://docs.google.com/spreadsheets/d/1C3CXT74ZlgGe6_JY_1olB1XN4rF0dxEuIIF-xsYjHgg/edit?usp=sharing"",""งบกองทุน!an69"")"),10)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IFERROR(__xludf.DUMMYFUNCTION("IMPORTRANGE(""https://docs.google.com/spreadsheets/d/1C3CXT74ZlgGe6_JY_1olB1XN4rF0dxEuIIF-xsYjHgg/edit?usp=sharing"",""งบกองทุน!am69"")"),30)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IFERROR(__xludf.DUMMYFUNCTION("IMPORTRANGE(""https://docs.google.com/spreadsheets/d/1C3CXT74ZlgGe6_JY_1olB1XN4rF0dxEuIIF-xsYjHgg/edit?usp=sharing"",""งบกองทุน!ao69"")"),10)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IFERROR(__xludf.DUMMYFUNCTION("IMPORTRANGE(""https://docs.google.com/spreadsheets/d/1C3CXT74ZlgGe6_JY_1olB1XN4rF0dxEuIIF-xsYjHgg/edit?usp=sharing"",""งบกองทุน!ap69"")"),10)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20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IFERROR(__xludf.DUMMYFUNCTION("IMPORTRANGE(""https://docs.google.com/spreadsheets/d/1C3CXT74ZlgGe6_JY_1olB1XN4rF0dxEuIIF-xsYjHgg/edit?usp=sharing"",""งบกองทุน!ar69"")"),10)</f>
        <v>10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IFERROR(__xludf.DUMMYFUNCTION("IMPORTRANGE(""https://docs.google.com/spreadsheets/d/1C3CXT74ZlgGe6_JY_1olB1XN4rF0dxEuIIF-xsYjHgg/edit?usp=sharing"",""งบกองทุน!as69"")"),10)</f>
        <v>10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71000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IFERROR(__xludf.DUMMYFUNCTION("IMPORTRANGE(""https://docs.google.com/spreadsheets/d/1C3CXT74ZlgGe6_JY_1olB1XN4rF0dxEuIIF-xsYjHgg/edit?usp=sharing"",""งบกองทุน!au69"")"),0)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IFERROR(__xludf.DUMMYFUNCTION("IMPORTRANGE(""https://docs.google.com/spreadsheets/d/1C3CXT74ZlgGe6_JY_1olB1XN4rF0dxEuIIF-xsYjHgg/edit?usp=sharing"",""งบกองทุน!av69"")"),71000)</f>
        <v>71000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IFERROR(__xludf.DUMMYFUNCTION("IMPORTRANGE(""https://docs.google.com/spreadsheets/d/1C3CXT74ZlgGe6_JY_1olB1XN4rF0dxEuIIF-xsYjHgg/edit?usp=sharing"",""งบกองทุน!ay69"")"),10)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IFERROR(__xludf.DUMMYFUNCTION("IMPORTRANGE(""https://docs.google.com/spreadsheets/d/1C3CXT74ZlgGe6_JY_1olB1XN4rF0dxEuIIF-xsYjHgg/edit?usp=sharing"",""งบกองทุน!az69"")"),0)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IFERROR(__xludf.DUMMYFUNCTION("IMPORTRANGE(""https://docs.google.com/spreadsheets/d/1C3CXT74ZlgGe6_JY_1olB1XN4rF0dxEuIIF-xsYjHgg/edit?usp=sharing"",""งบกองทุน!Ba69"")"),0)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2262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57554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57554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IFERROR(__xludf.DUMMYFUNCTION("IMPORTRANGE(""https://docs.google.com/spreadsheets/d/1C3CXT74ZlgGe6_JY_1olB1XN4rF0dxEuIIF-xsYjHgg/edit?usp=sharing"",""งบกองทุน!Bc69"")"),0)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IFERROR(__xludf.DUMMYFUNCTION("IMPORTRANGE(""https://docs.google.com/spreadsheets/d/1C3CXT74ZlgGe6_JY_1olB1XN4rF0dxEuIIF-xsYjHgg/edit?usp=sharing"",""งบกองทุน!Bd69"")"),57554)</f>
        <v>57554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IFERROR(__xludf.DUMMYFUNCTION("IMPORTRANGE(""https://docs.google.com/spreadsheets/d/1C3CXT74ZlgGe6_JY_1olB1XN4rF0dxEuIIF-xsYjHgg/edit?usp=sharing"",""งบกองทุน!BE69"")"),2262)</f>
        <v>2262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IFERROR(__xludf.DUMMYFUNCTION("IMPORTRANGE(""https://docs.google.com/spreadsheets/d/1C3CXT74ZlgGe6_JY_1olB1XN4rF0dxEuIIF-xsYjHgg/edit?usp=sharing"",""งบกองทุน!BE69"")"),2262)</f>
        <v>2262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IFERROR(__xludf.DUMMYFUNCTION("IMPORTRANGE(""https://docs.google.com/spreadsheets/d/1C3CXT74ZlgGe6_JY_1olB1XN4rF0dxEuIIF-xsYjHgg/edit?usp=sharing"",""งบกองทุน!Bf69"")"),142)</f>
        <v>142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2262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142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2262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142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IFERROR(__xludf.DUMMYFUNCTION("IMPORTRANGE(""https://docs.google.com/spreadsheets/d/1C3CXT74ZlgGe6_JY_1olB1XN4rF0dxEuIIF-xsYjHgg/edit?usp=sharing"",""งบกองทุน!cd69"")"),495)</f>
        <v>495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IFERROR(__xludf.DUMMYFUNCTION("IMPORTRANGE(""https://docs.google.com/spreadsheets/d/1C3CXT74ZlgGe6_JY_1olB1XN4rF0dxEuIIF-xsYjHgg/edit?usp=sharing"",""งบกองทุน!cd69"")"),495)</f>
        <v>495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IFERROR(__xludf.DUMMYFUNCTION("IMPORTRANGE(""https://docs.google.com/spreadsheets/d/1C3CXT74ZlgGe6_JY_1olB1XN4rF0dxEuIIF-xsYjHgg/edit?usp=sharing"",""งบกองทุน!cc69"")"),17)</f>
        <v>17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IFERROR(__xludf.DUMMYFUNCTION("IMPORTRANGE(""https://docs.google.com/spreadsheets/d/1C3CXT74ZlgGe6_JY_1olB1XN4rF0dxEuIIF-xsYjHgg/edit?usp=sharing"",""งบกองทุน!cz69"")"),0)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IFERROR(__xludf.DUMMYFUNCTION("IMPORTRANGE(""https://docs.google.com/spreadsheets/d/1C3CXT74ZlgGe6_JY_1olB1XN4rF0dxEuIIF-xsYjHgg/edit?usp=sharing"",""งบกองทุน!cz69"")"),0)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IFERROR(__xludf.DUMMYFUNCTION("IMPORTRANGE(""https://docs.google.com/spreadsheets/d/1C3CXT74ZlgGe6_JY_1olB1XN4rF0dxEuIIF-xsYjHgg/edit?usp=sharing"",""งบกองทุน!cy69"")"),0)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IFERROR(__xludf.DUMMYFUNCTION("IMPORTRANGE(""https://docs.google.com/spreadsheets/d/1C3CXT74ZlgGe6_JY_1olB1XN4rF0dxEuIIF-xsYjHgg/edit?usp=sharing"",""งบกองทุน!db69"")"),0)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IFERROR(__xludf.DUMMYFUNCTION("IMPORTRANGE(""https://docs.google.com/spreadsheets/d/1C3CXT74ZlgGe6_JY_1olB1XN4rF0dxEuIIF-xsYjHgg/edit?usp=sharing"",""งบกองทุน!da69"")"),0)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IFERROR(__xludf.DUMMYFUNCTION("IMPORTRANGE(""https://docs.google.com/spreadsheets/d/1C3CXT74ZlgGe6_JY_1olB1XN4rF0dxEuIIF-xsYjHgg/edit?usp=sharing"",""งบกองทุน!dd69"")"),0)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IFERROR(__xludf.DUMMYFUNCTION("IMPORTRANGE(""https://docs.google.com/spreadsheets/d/1C3CXT74ZlgGe6_JY_1olB1XN4rF0dxEuIIF-xsYjHgg/edit?usp=sharing"",""งบกองทุน!dc69"")"),0)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IFERROR(__xludf.DUMMYFUNCTION("IMPORTRANGE(""https://docs.google.com/spreadsheets/d/1C3CXT74ZlgGe6_JY_1olB1XN4rF0dxEuIIF-xsYjHgg/edit?usp=sharing"",""งบกองทุน!df69"")"),0)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IFERROR(__xludf.DUMMYFUNCTION("IMPORTRANGE(""https://docs.google.com/spreadsheets/d/1C3CXT74ZlgGe6_JY_1olB1XN4rF0dxEuIIF-xsYjHgg/edit?usp=sharing"",""งบกองทุน!de69"")"),0)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IFERROR(__xludf.DUMMYFUNCTION("IMPORTRANGE(""https://docs.google.com/spreadsheets/d/1C3CXT74ZlgGe6_JY_1olB1XN4rF0dxEuIIF-xsYjHgg/edit?usp=sharing"",""งบกองทุน!dn69"")"),0)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IFERROR(__xludf.DUMMYFUNCTION("IMPORTRANGE(""https://docs.google.com/spreadsheets/d/1C3CXT74ZlgGe6_JY_1olB1XN4rF0dxEuIIF-xsYjHgg/edit?usp=sharing"",""งบกองทุน!do69"")"),34340)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1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IFERROR(__xludf.DUMMYFUNCTION("IMPORTRANGE(""https://docs.google.com/spreadsheets/d/1C3CXT74ZlgGe6_JY_1olB1XN4rF0dxEuIIF-xsYjHgg/edit?usp=sharing"",""งบกองทุน!dq69"")"),22)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IFERROR(__xludf.DUMMYFUNCTION("IMPORTRANGE(""https://docs.google.com/spreadsheets/d/1C3CXT74ZlgGe6_JY_1olB1XN4rF0dxEuIIF-xsYjHgg/edit?usp=sharing"",""งบกองทุน!dr69"")"),22)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IFERROR(__xludf.DUMMYFUNCTION("IMPORTRANGE(""https://docs.google.com/spreadsheets/d/1C3CXT74ZlgGe6_JY_1olB1XN4rF0dxEuIIF-xsYjHgg/edit?usp=sharing"",""งบกองทุน!dt69"")"),0)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IFERROR(__xludf.DUMMYFUNCTION("IMPORTRANGE(""https://docs.google.com/spreadsheets/d/1C3CXT74ZlgGe6_JY_1olB1XN4rF0dxEuIIF-xsYjHgg/edit?usp=sharing"",""งบกองทุน!du69"")"),0)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IFERROR(__xludf.DUMMYFUNCTION("IMPORTRANGE(""https://docs.google.com/spreadsheets/d/1C3CXT74ZlgGe6_JY_1olB1XN4rF0dxEuIIF-xsYjHgg/edit?usp=sharing"",""งบกองทุน!dw69"")"),0)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IFERROR(__xludf.DUMMYFUNCTION("IMPORTRANGE(""https://docs.google.com/spreadsheets/d/1C3CXT74ZlgGe6_JY_1olB1XN4rF0dxEuIIF-xsYjHgg/edit?usp=sharing"",""งบกองทุน!dx69"")"),0)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IFERROR(__xludf.DUMMYFUNCTION("IMPORTRANGE(""https://docs.google.com/spreadsheets/d/1C3CXT74ZlgGe6_JY_1olB1XN4rF0dxEuIIF-xsYjHgg/edit?usp=sharing"",""งบกองทุน!dy69"")"),0)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IFERROR(__xludf.DUMMYFUNCTION("IMPORTRANGE(""https://docs.google.com/spreadsheets/d/1C3CXT74ZlgGe6_JY_1olB1XN4rF0dxEuIIF-xsYjHgg/edit?usp=sharing"",""งบกองทุน!dz69"")"),0)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500</v>
      </c>
      <c r="J457" s="226">
        <f>+J466</f>
        <v>195</v>
      </c>
      <c r="K457" s="227">
        <f t="shared" ca="1" si="100"/>
        <v>39</v>
      </c>
      <c r="L457" s="228">
        <f t="shared" ref="L457:M457" ca="1" si="101">SUM(L458:L459)</f>
        <v>128480</v>
      </c>
      <c r="M457" s="228">
        <f t="shared" si="101"/>
        <v>9516</v>
      </c>
      <c r="N457" s="228">
        <f t="shared" ref="N457:N461" ca="1" si="102">+IF(L457&gt;0,M457*100/L457,0)</f>
        <v>7.4066002490660026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128480</v>
      </c>
      <c r="M459" s="52">
        <f t="shared" si="103"/>
        <v>9516</v>
      </c>
      <c r="N459" s="52">
        <f t="shared" ca="1" si="102"/>
        <v>7.4066002490660026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IFERROR(__xludf.DUMMYFUNCTION("IMPORTRANGE(""https://docs.google.com/spreadsheets/d/1C3CXT74ZlgGe6_JY_1olB1XN4rF0dxEuIIF-xsYjHgg/edit?usp=sharing"",""งบกองทุน!Eb69"")"),0)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IFERROR(__xludf.DUMMYFUNCTION("IMPORTRANGE(""https://docs.google.com/spreadsheets/d/1C3CXT74ZlgGe6_JY_1olB1XN4rF0dxEuIIF-xsYjHgg/edit?usp=sharing"",""งบกองทุน!Ec69"")"),128480)</f>
        <v>128480</v>
      </c>
      <c r="M461" s="52">
        <f>SUM(M462:M465)</f>
        <v>9516</v>
      </c>
      <c r="N461" s="52">
        <f t="shared" ca="1" si="102"/>
        <v>7.4066002490660026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9516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IFERROR(__xludf.DUMMYFUNCTION("IMPORTRANGE(""https://docs.google.com/spreadsheets/d/1C3CXT74ZlgGe6_JY_1olB1XN4rF0dxEuIIF-xsYjHgg/edit?usp=sharing"",""งบกองทุน!Ed69"")"),500)</f>
        <v>500</v>
      </c>
      <c r="J466" s="265">
        <f>+J469+J470+J471+J472</f>
        <v>195</v>
      </c>
      <c r="K466" s="79">
        <f ca="1">IF(I466&gt;0,J466*100/I466,0)</f>
        <v>39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195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2</v>
      </c>
      <c r="J473" s="226">
        <f ca="1">J488</f>
        <v>2</v>
      </c>
      <c r="K473" s="227">
        <f ca="1">IF(I473&gt;0,J473*100/I473,0)</f>
        <v>100</v>
      </c>
      <c r="L473" s="228">
        <f ca="1">SUM(L474,L475)</f>
        <v>106902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106902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IFERROR(__xludf.DUMMYFUNCTION("IMPORTRANGE(""https://docs.google.com/spreadsheets/d/1C3CXT74ZlgGe6_JY_1olB1XN4rF0dxEuIIF-xsYjHgg/edit?usp=sharing"",""งบกองทุน!Ek69"")"),0)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IFERROR(__xludf.DUMMYFUNCTION("IMPORTRANGE(""https://docs.google.com/spreadsheets/d/1C3CXT74ZlgGe6_JY_1olB1XN4rF0dxEuIIF-xsYjHgg/edit?usp=sharing"",""งบกองทุน!El69"")"),106902)</f>
        <v>106902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IFERROR(__xludf.DUMMYFUNCTION("IMPORTRANGE(""https://docs.google.com/spreadsheets/d/1C3CXT74ZlgGe6_JY_1olB1XN4rF0dxEuIIF-xsYjHgg/edit?usp=sharing"",""งบกองทุน!Em69"")"),2)</f>
        <v>2</v>
      </c>
      <c r="J482" s="66">
        <f ca="1">IFERROR(__xludf.DUMMYFUNCTION("IMPORTRANGE(""https://docs.google.com/spreadsheets/d/1AGHcLOeeYFL3K4b9R1dSzyJy00PE_ra89DNTVfnxSWM/edit?usp=sharing"",""รวมที่ชุมชน!G58"")"),0)</f>
        <v>0</v>
      </c>
      <c r="K482" s="48">
        <f t="shared" ref="K482:K489" ca="1" si="107">IF(I482&gt;0,J482*100/I482,0)</f>
        <v>0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IFERROR(__xludf.DUMMYFUNCTION("IMPORTRANGE(""https://docs.google.com/spreadsheets/d/1C3CXT74ZlgGe6_JY_1olB1XN4rF0dxEuIIF-xsYjHgg/edit?usp=sharing"",""งบกองทุน!En69"")"),0)</f>
        <v>0</v>
      </c>
      <c r="J483" s="66">
        <f ca="1">IFERROR(__xludf.DUMMYFUNCTION("IMPORTRANGE(""https://docs.google.com/spreadsheets/d/1AGHcLOeeYFL3K4b9R1dSzyJy00PE_ra89DNTVfnxSWM/edit?usp=sharing"",""รวมที่ชุมชน!H58"")"),0)</f>
        <v>0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IFERROR(__xludf.DUMMYFUNCTION("IMPORTRANGE(""https://docs.google.com/spreadsheets/d/1C3CXT74ZlgGe6_JY_1olB1XN4rF0dxEuIIF-xsYjHgg/edit?usp=sharing"",""งบกองทุน!Eo69"")"),2)</f>
        <v>2</v>
      </c>
      <c r="J484" s="66">
        <f ca="1">IFERROR(__xludf.DUMMYFUNCTION("IMPORTRANGE(""https://docs.google.com/spreadsheets/d/1AGHcLOeeYFL3K4b9R1dSzyJy00PE_ra89DNTVfnxSWM/edit?usp=sharing"",""รวมที่ชุมชน!J58"")"),0)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IFERROR(__xludf.DUMMYFUNCTION("IMPORTRANGE(""https://docs.google.com/spreadsheets/d/1C3CXT74ZlgGe6_JY_1olB1XN4rF0dxEuIIF-xsYjHgg/edit?usp=sharing"",""งบกองทุน!Ep69"")"),0)</f>
        <v>0</v>
      </c>
      <c r="J485" s="66">
        <f ca="1">IFERROR(__xludf.DUMMYFUNCTION("IMPORTRANGE(""https://docs.google.com/spreadsheets/d/1AGHcLOeeYFL3K4b9R1dSzyJy00PE_ra89DNTVfnxSWM/edit?usp=sharing"",""รวมที่ชุมชน!L58"")"),0)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IFERROR(__xludf.DUMMYFUNCTION("IMPORTRANGE(""https://docs.google.com/spreadsheets/d/1C3CXT74ZlgGe6_JY_1olB1XN4rF0dxEuIIF-xsYjHgg/edit?usp=sharing"",""งบกองทุน!Eq69"")"),2)</f>
        <v>2</v>
      </c>
      <c r="J486" s="66">
        <f ca="1">IFERROR(__xludf.DUMMYFUNCTION("IMPORTRANGE(""https://docs.google.com/spreadsheets/d/1AGHcLOeeYFL3K4b9R1dSzyJy00PE_ra89DNTVfnxSWM/edit?usp=sharing"",""รวมที่ชุมชน!S58"")"),0)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IFERROR(__xludf.DUMMYFUNCTION("IMPORTRANGE(""https://docs.google.com/spreadsheets/d/1C3CXT74ZlgGe6_JY_1olB1XN4rF0dxEuIIF-xsYjHgg/edit?usp=sharing"",""งบกองทุน!Er69"")"),0)</f>
        <v>0</v>
      </c>
      <c r="J487" s="66">
        <f ca="1">IFERROR(__xludf.DUMMYFUNCTION("IMPORTRANGE(""https://docs.google.com/spreadsheets/d/1AGHcLOeeYFL3K4b9R1dSzyJy00PE_ra89DNTVfnxSWM/edit?usp=sharing"",""รวมที่ชุมชน!U58"")"),0)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IFERROR(__xludf.DUMMYFUNCTION("IMPORTRANGE(""https://docs.google.com/spreadsheets/d/1C3CXT74ZlgGe6_JY_1olB1XN4rF0dxEuIIF-xsYjHgg/edit?usp=sharing"",""งบกองทุน!Es69"")"),2)</f>
        <v>2</v>
      </c>
      <c r="J488" s="66">
        <f ca="1">IFERROR(__xludf.DUMMYFUNCTION("IMPORTRANGE(""https://docs.google.com/spreadsheets/d/1AGHcLOeeYFL3K4b9R1dSzyJy00PE_ra89DNTVfnxSWM/edit?usp=sharing"",""รวมที่ชุมชน!V58"")"),2)</f>
        <v>2</v>
      </c>
      <c r="K488" s="48">
        <f t="shared" ca="1" si="107"/>
        <v>100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IFERROR(__xludf.DUMMYFUNCTION("IMPORTRANGE(""https://docs.google.com/spreadsheets/d/1C3CXT74ZlgGe6_JY_1olB1XN4rF0dxEuIIF-xsYjHgg/edit?usp=sharing"",""งบกองทุน!Et69"")"),0)</f>
        <v>0</v>
      </c>
      <c r="J489" s="111">
        <f ca="1">IFERROR(__xludf.DUMMYFUNCTION("IMPORTRANGE(""https://docs.google.com/spreadsheets/d/1AGHcLOeeYFL3K4b9R1dSzyJy00PE_ra89DNTVfnxSWM/edit?usp=sharing"",""รวมที่ชุมชน!X58"")"),1.68)</f>
        <v>1.68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IFERROR(__xludf.DUMMYFUNCTION("IMPORTRANGE(""https://docs.google.com/spreadsheets/d/1C3CXT74ZlgGe6_JY_1olB1XN4rF0dxEuIIF-xsYjHgg/edit?usp=sharing"",""งบกองทุน!Ev69"")"),0)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IFERROR(__xludf.DUMMYFUNCTION("IMPORTRANGE(""https://docs.google.com/spreadsheets/d/1C3CXT74ZlgGe6_JY_1olB1XN4rF0dxEuIIF-xsYjHgg/edit?usp=sharing"",""งบกองทุน!Ew69"")"),4550)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1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IFERROR(__xludf.DUMMYFUNCTION("IMPORTRANGE(""https://docs.google.com/spreadsheets/d/1C3CXT74ZlgGe6_JY_1olB1XN4rF0dxEuIIF-xsYjHgg/edit?usp=sharing"",""งบกองทุน!EZ69"")"),50)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IFERROR(__xludf.DUMMYFUNCTION("IMPORTRANGE(""https://docs.google.com/spreadsheets/d/1C3CXT74ZlgGe6_JY_1olB1XN4rF0dxEuIIF-xsYjHgg/edit?usp=sharing"",""งบกองทุน!ff69"")"),0)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IFERROR(__xludf.DUMMYFUNCTION("IMPORTRANGE(""https://docs.google.com/spreadsheets/d/1muirlRDkqiswvy_NRZ3Yh955hx-PF6_HhssUYiSJj8o/edit?usp=sharing"",""กองทุน!D69"")"),9220935.21)</f>
        <v>9220935.2100000009</v>
      </c>
      <c r="J521" s="199">
        <f ca="1">IFERROR(__xludf.DUMMYFUNCTION("IMPORTRANGE(""https://docs.google.com/spreadsheets/d/1muirlRDkqiswvy_NRZ3Yh955hx-PF6_HhssUYiSJj8o/edit?usp=sharing"",""กองทุน!F69"")"),50000)</f>
        <v>50000</v>
      </c>
      <c r="K521" s="200">
        <f t="shared" ref="K521:K528" ca="1" si="116">IF(I521&gt;0,J521*100/I521,0)</f>
        <v>0.54224434790275455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IFERROR(__xludf.DUMMYFUNCTION("IMPORTRANGE(""https://docs.google.com/spreadsheets/d/1muirlRDkqiswvy_NRZ3Yh955hx-PF6_HhssUYiSJj8o/edit?usp=sharing"",""กองทุน!C69"")"),216)</f>
        <v>216</v>
      </c>
      <c r="J522" s="199">
        <f ca="1">IFERROR(__xludf.DUMMYFUNCTION("IMPORTRANGE(""https://docs.google.com/spreadsheets/d/1muirlRDkqiswvy_NRZ3Yh955hx-PF6_HhssUYiSJj8o/edit?usp=sharing"",""กองทุน!E69"")"),3)</f>
        <v>3</v>
      </c>
      <c r="K522" s="200">
        <f t="shared" ca="1" si="116"/>
        <v>1.3888888888888888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IFERROR(__xludf.DUMMYFUNCTION("IMPORTRANGE(""https://docs.google.com/spreadsheets/d/1muirlRDkqiswvy_NRZ3Yh955hx-PF6_HhssUYiSJj8o/edit?usp=sharing"",""กองทุน!I69"")"),7637945.67)</f>
        <v>7637945.6699999999</v>
      </c>
      <c r="J523" s="199">
        <f ca="1">IFERROR(__xludf.DUMMYFUNCTION("IMPORTRANGE(""https://docs.google.com/spreadsheets/d/1muirlRDkqiswvy_NRZ3Yh955hx-PF6_HhssUYiSJj8o/edit?usp=sharing"",""กองทุน!K69"")"),30526.47)</f>
        <v>30526.47</v>
      </c>
      <c r="K523" s="200">
        <f t="shared" ca="1" si="116"/>
        <v>0.39966859308649677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IFERROR(__xludf.DUMMYFUNCTION("IMPORTRANGE(""https://docs.google.com/spreadsheets/d/1muirlRDkqiswvy_NRZ3Yh955hx-PF6_HhssUYiSJj8o/edit?usp=sharing"",""กองทุน!H69"")"),174)</f>
        <v>174</v>
      </c>
      <c r="J524" s="199">
        <f ca="1">IFERROR(__xludf.DUMMYFUNCTION("IMPORTRANGE(""https://docs.google.com/spreadsheets/d/1muirlRDkqiswvy_NRZ3Yh955hx-PF6_HhssUYiSJj8o/edit?usp=sharing"",""กองทุน!J69"")"),8)</f>
        <v>8</v>
      </c>
      <c r="K524" s="200">
        <f t="shared" ca="1" si="116"/>
        <v>4.5977011494252871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IFERROR(__xludf.DUMMYFUNCTION("IMPORTRANGE(""https://docs.google.com/spreadsheets/d/1muirlRDkqiswvy_NRZ3Yh955hx-PF6_HhssUYiSJj8o/edit?usp=sharing"",""กองทุน!N69"")"),283548.59)</f>
        <v>283548.59000000003</v>
      </c>
      <c r="J525" s="199">
        <f ca="1">IFERROR(__xludf.DUMMYFUNCTION("IMPORTRANGE(""https://docs.google.com/spreadsheets/d/1muirlRDkqiswvy_NRZ3Yh955hx-PF6_HhssUYiSJj8o/edit?usp=sharing"",""กองทุน!P69"")"),6191.53)</f>
        <v>6191.53</v>
      </c>
      <c r="K525" s="200">
        <f t="shared" ca="1" si="116"/>
        <v>2.1835869471260638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IFERROR(__xludf.DUMMYFUNCTION("IMPORTRANGE(""https://docs.google.com/spreadsheets/d/1muirlRDkqiswvy_NRZ3Yh955hx-PF6_HhssUYiSJj8o/edit?usp=sharing"",""กองทุน!M69"")"),136)</f>
        <v>136</v>
      </c>
      <c r="J526" s="199">
        <f ca="1">IFERROR(__xludf.DUMMYFUNCTION("IMPORTRANGE(""https://docs.google.com/spreadsheets/d/1muirlRDkqiswvy_NRZ3Yh955hx-PF6_HhssUYiSJj8o/edit?usp=sharing"",""กองทุน!O69"")"),2)</f>
        <v>2</v>
      </c>
      <c r="K526" s="200">
        <f t="shared" ca="1" si="116"/>
        <v>1.4705882352941178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IFERROR(__xludf.DUMMYFUNCTION("IMPORTRANGE(""https://docs.google.com/spreadsheets/d/1muirlRDkqiswvy_NRZ3Yh955hx-PF6_HhssUYiSJj8o/edit?usp=sharing"",""กองทุน!S69"")"),4500000)</f>
        <v>4500000</v>
      </c>
      <c r="J527" s="199">
        <f ca="1">IFERROR(__xludf.DUMMYFUNCTION("IMPORTRANGE(""https://docs.google.com/spreadsheets/d/1muirlRDkqiswvy_NRZ3Yh955hx-PF6_HhssUYiSJj8o/edit?usp=sharing"",""กองทุน!U69"")"),0)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IFERROR(__xludf.DUMMYFUNCTION("IMPORTRANGE(""https://docs.google.com/spreadsheets/d/1muirlRDkqiswvy_NRZ3Yh955hx-PF6_HhssUYiSJj8o/edit?usp=sharing"",""กองทุน!R69"")"),90)</f>
        <v>90</v>
      </c>
      <c r="J528" s="324">
        <f ca="1">IFERROR(__xludf.DUMMYFUNCTION("IMPORTRANGE(""https://docs.google.com/spreadsheets/d/1muirlRDkqiswvy_NRZ3Yh955hx-PF6_HhssUYiSJj8o/edit?usp=sharing"",""กองทุน!T69"")"),0)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235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1734635</v>
      </c>
      <c r="M6" s="16">
        <f t="shared" si="0"/>
        <v>142760.38999999998</v>
      </c>
      <c r="N6" s="17">
        <f ca="1">IF(L6&gt;0,M6*100/L6,0)</f>
        <v>8.229995935744407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557200</v>
      </c>
      <c r="M9" s="40">
        <f>SUM(M11:M12)</f>
        <v>22480</v>
      </c>
      <c r="N9" s="39">
        <f ca="1">IF(L9&gt;0,M9*100/L9,0)</f>
        <v>4.0344580043072504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IFERROR(__xludf.DUMMYFUNCTION("IMPORTRANGE(""https://docs.google.com/spreadsheets/d/1C3CXT74ZlgGe6_JY_1olB1XN4rF0dxEuIIF-xsYjHgg/edit?usp=sharing"",""พรบ!C70"")"),557200)</f>
        <v>557200</v>
      </c>
      <c r="M12" s="49">
        <f>SUM(M13:M14)</f>
        <v>22480</v>
      </c>
      <c r="N12" s="49">
        <f t="shared" ca="1" si="4"/>
        <v>4.0344580043072504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IFERROR(__xludf.DUMMYFUNCTION("IMPORTRANGE(""https://docs.google.com/spreadsheets/d/1C3CXT74ZlgGe6_JY_1olB1XN4rF0dxEuIIF-xsYjHgg/edit?usp=sharing"",""พรบ!D70"")"),185200)</f>
        <v>185200</v>
      </c>
      <c r="M13" s="53">
        <v>22000</v>
      </c>
      <c r="N13" s="52">
        <f t="shared" ca="1" si="4"/>
        <v>11.879049676025918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IFERROR(__xludf.DUMMYFUNCTION("IMPORTRANGE(""https://docs.google.com/spreadsheets/d/1C3CXT74ZlgGe6_JY_1olB1XN4rF0dxEuIIF-xsYjHgg/edit?usp=sharing"",""พรบ!E70"")"),372000)</f>
        <v>372000</v>
      </c>
      <c r="M14" s="53">
        <v>480</v>
      </c>
      <c r="N14" s="52">
        <f t="shared" ca="1" si="4"/>
        <v>0.12903225806451613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30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IFERROR(__xludf.DUMMYFUNCTION("IMPORTRANGE(""https://docs.google.com/spreadsheets/d/1C3CXT74ZlgGe6_JY_1olB1XN4rF0dxEuIIF-xsYjHgg/edit?usp=sharing"",""พรบ!H70"")"),0)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IFERROR(__xludf.DUMMYFUNCTION("IMPORTRANGE(""https://docs.google.com/spreadsheets/d/1C3CXT74ZlgGe6_JY_1olB1XN4rF0dxEuIIF-xsYjHgg/edit?usp=sharing"",""พรบ!I70"")"),0)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IFERROR(__xludf.DUMMYFUNCTION("IMPORTRANGE(""https://docs.google.com/spreadsheets/d/1C3CXT74ZlgGe6_JY_1olB1XN4rF0dxEuIIF-xsYjHgg/edit?usp=sharing"",""พรบ!J70"")"),0)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IFERROR(__xludf.DUMMYFUNCTION("IMPORTRANGE(""https://docs.google.com/spreadsheets/d/1C3CXT74ZlgGe6_JY_1olB1XN4rF0dxEuIIF-xsYjHgg/edit?usp=sharing"",""พรบ!K70"")"),0)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IFERROR(__xludf.DUMMYFUNCTION("IMPORTRANGE(""https://docs.google.com/spreadsheets/d/1C3CXT74ZlgGe6_JY_1olB1XN4rF0dxEuIIF-xsYjHgg/edit?usp=sharing"",""พรบ!L70"")"),1)</f>
        <v>1</v>
      </c>
      <c r="J26" s="67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IFERROR(__xludf.DUMMYFUNCTION("IMPORTRANGE(""https://docs.google.com/spreadsheets/d/1C3CXT74ZlgGe6_JY_1olB1XN4rF0dxEuIIF-xsYjHgg/edit?usp=sharing"",""พรบ!M70"")"),30)</f>
        <v>30</v>
      </c>
      <c r="J27" s="67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IFERROR(__xludf.DUMMYFUNCTION("IMPORTRANGE(""https://docs.google.com/spreadsheets/d/1C3CXT74ZlgGe6_JY_1olB1XN4rF0dxEuIIF-xsYjHgg/edit?usp=sharing"",""พรบ!N70"")"),0)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IFERROR(__xludf.DUMMYFUNCTION("IMPORTRANGE(""https://docs.google.com/spreadsheets/d/1C3CXT74ZlgGe6_JY_1olB1XN4rF0dxEuIIF-xsYjHgg/edit?usp=sharing"",""พรบ!O70"")"),0)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IFERROR(__xludf.DUMMYFUNCTION("IMPORTRANGE(""https://docs.google.com/spreadsheets/d/1C3CXT74ZlgGe6_JY_1olB1XN4rF0dxEuIIF-xsYjHgg/edit?usp=sharing"",""พรบ!P70"")"),0)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IFERROR(__xludf.DUMMYFUNCTION("IMPORTRANGE(""https://docs.google.com/spreadsheets/d/1C3CXT74ZlgGe6_JY_1olB1XN4rF0dxEuIIF-xsYjHgg/edit?usp=sharing"",""พรบ!Q70"")"),0)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IFERROR(__xludf.DUMMYFUNCTION("IMPORTRANGE(""https://docs.google.com/spreadsheets/d/1C3CXT74ZlgGe6_JY_1olB1XN4rF0dxEuIIF-xsYjHgg/edit?usp=sharing"",""พรบ!R70"")"),0)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IFERROR(__xludf.DUMMYFUNCTION("IMPORTRANGE(""https://docs.google.com/spreadsheets/d/1C3CXT74ZlgGe6_JY_1olB1XN4rF0dxEuIIF-xsYjHgg/edit?usp=sharing"",""พรบ!S70"")"),0)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IFERROR(__xludf.DUMMYFUNCTION("IMPORTRANGE(""https://docs.google.com/spreadsheets/d/1C3CXT74ZlgGe6_JY_1olB1XN4rF0dxEuIIF-xsYjHgg/edit?usp=sharing"",""พรบ!T70"")"),0)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IFERROR(__xludf.DUMMYFUNCTION("IMPORTRANGE(""https://docs.google.com/spreadsheets/d/1C3CXT74ZlgGe6_JY_1olB1XN4rF0dxEuIIF-xsYjHgg/edit?usp=sharing"",""พรบ!U70"")"),0)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IFERROR(__xludf.DUMMYFUNCTION("IMPORTRANGE(""https://docs.google.com/spreadsheets/d/1C3CXT74ZlgGe6_JY_1olB1XN4rF0dxEuIIF-xsYjHgg/edit?usp=sharing"",""พรบ!V70"")"),0)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IFERROR(__xludf.DUMMYFUNCTION("IMPORTRANGE(""https://docs.google.com/spreadsheets/d/1C3CXT74ZlgGe6_JY_1olB1XN4rF0dxEuIIF-xsYjHgg/edit?usp=sharing"",""พรบ!W70"")"),0)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IFERROR(__xludf.DUMMYFUNCTION("IMPORTRANGE(""https://docs.google.com/spreadsheets/d/1C3CXT74ZlgGe6_JY_1olB1XN4rF0dxEuIIF-xsYjHgg/edit?usp=sharing"",""พรบ!Y70"")"),0)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IFERROR(__xludf.DUMMYFUNCTION("IMPORTRANGE(""https://docs.google.com/spreadsheets/d/1C3CXT74ZlgGe6_JY_1olB1XN4rF0dxEuIIF-xsYjHgg/edit?usp=sharing"",""พรบ!Z70"")"),0)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IFERROR(__xludf.DUMMYFUNCTION("IMPORTRANGE(""https://docs.google.com/spreadsheets/d/1C3CXT74ZlgGe6_JY_1olB1XN4rF0dxEuIIF-xsYjHgg/edit?usp=sharing"",""พรบ!AA70"")"),0)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40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670200</v>
      </c>
      <c r="M68" s="138">
        <f t="shared" si="16"/>
        <v>71040.23</v>
      </c>
      <c r="N68" s="137">
        <f ca="1">IF(L68&gt;0,M68*100/L68,0)</f>
        <v>10.599855267084452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670200</v>
      </c>
      <c r="M71" s="139">
        <f>SUM(M72:M73)</f>
        <v>71040.23</v>
      </c>
      <c r="N71" s="49">
        <f t="shared" ca="1" si="17"/>
        <v>10.599855267084452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IFERROR(__xludf.DUMMYFUNCTION("IMPORTRANGE(""https://docs.google.com/spreadsheets/d/1C3CXT74ZlgGe6_JY_1olB1XN4rF0dxEuIIF-xsYjHgg/edit?usp=sharing"",""พรบ!AD70"")"),396000)</f>
        <v>396000</v>
      </c>
      <c r="M72" s="53">
        <v>69065.23</v>
      </c>
      <c r="N72" s="52">
        <f t="shared" ca="1" si="17"/>
        <v>17.440714646464645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274200</v>
      </c>
      <c r="M73" s="52">
        <f t="shared" si="18"/>
        <v>1975</v>
      </c>
      <c r="N73" s="52">
        <f t="shared" ca="1" si="17"/>
        <v>0.72027716994894242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IFERROR(__xludf.DUMMYFUNCTION("IMPORTRANGE(""https://docs.google.com/spreadsheets/d/1C3CXT74ZlgGe6_JY_1olB1XN4rF0dxEuIIF-xsYjHgg/edit?usp=sharing"",""พรบ!AF70"")"),7500)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IFERROR(__xludf.DUMMYFUNCTION("IMPORTRANGE(""https://docs.google.com/spreadsheets/d/1C3CXT74ZlgGe6_JY_1olB1XN4rF0dxEuIIF-xsYjHgg/edit?usp=sharing"",""พรบ!AG70"")"),4)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IFERROR(__xludf.DUMMYFUNCTION("IMPORTRANGE(""https://docs.google.com/spreadsheets/d/1C3CXT74ZlgGe6_JY_1olB1XN4rF0dxEuIIF-xsYjHgg/edit?usp=sharing"",""พรบ!AH70"")"),42000)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IFERROR(__xludf.DUMMYFUNCTION("IMPORTRANGE(""https://docs.google.com/spreadsheets/d/1C3CXT74ZlgGe6_JY_1olB1XN4rF0dxEuIIF-xsYjHgg/edit?usp=sharing"",""พรบ!AI70"")"),3)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IFERROR(__xludf.DUMMYFUNCTION("IMPORTRANGE(""https://docs.google.com/spreadsheets/d/1C3CXT74ZlgGe6_JY_1olB1XN4rF0dxEuIIF-xsYjHgg/edit?usp=sharing"",""กปร!C70"")"),36000)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IFERROR(__xludf.DUMMYFUNCTION("IMPORTRANGE(""https://docs.google.com/spreadsheets/d/1C3CXT74ZlgGe6_JY_1olB1XN4rF0dxEuIIF-xsYjHgg/edit?usp=sharing"",""พรบ!AJ70"")"),0)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IFERROR(__xludf.DUMMYFUNCTION("IMPORTRANGE(""https://docs.google.com/spreadsheets/d/1C3CXT74ZlgGe6_JY_1olB1XN4rF0dxEuIIF-xsYjHgg/edit?usp=sharing"",""พรบ!AK70"")"),0)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IFERROR(__xludf.DUMMYFUNCTION("IMPORTRANGE(""https://docs.google.com/spreadsheets/d/1C3CXT74ZlgGe6_JY_1olB1XN4rF0dxEuIIF-xsYjHgg/edit?usp=sharing"",""กปร!D70"")"),0)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IFERROR(__xludf.DUMMYFUNCTION("IMPORTRANGE(""https://docs.google.com/spreadsheets/d/1C3CXT74ZlgGe6_JY_1olB1XN4rF0dxEuIIF-xsYjHgg/edit?usp=sharing"",""พรบ!AL70"")"),0)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IFERROR(__xludf.DUMMYFUNCTION("IMPORTRANGE(""https://docs.google.com/spreadsheets/d/1C3CXT74ZlgGe6_JY_1olB1XN4rF0dxEuIIF-xsYjHgg/edit?usp=sharing"",""กปร!E70"")"),0)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IFERROR(__xludf.DUMMYFUNCTION("IMPORTRANGE(""https://docs.google.com/spreadsheets/d/1C3CXT74ZlgGe6_JY_1olB1XN4rF0dxEuIIF-xsYjHgg/edit?usp=sharing"",""พรบ!AM70"")"),9000)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IFERROR(__xludf.DUMMYFUNCTION("IMPORTRANGE(""https://docs.google.com/spreadsheets/d/1C3CXT74ZlgGe6_JY_1olB1XN4rF0dxEuIIF-xsYjHgg/edit?usp=sharing"",""พรบ!AO70"")"),20000)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IFERROR(__xludf.DUMMYFUNCTION("IMPORTRANGE(""https://docs.google.com/spreadsheets/d/1C3CXT74ZlgGe6_JY_1olB1XN4rF0dxEuIIF-xsYjHgg/edit?usp=sharing"",""พรบ!AP70"")"),20000)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IFERROR(__xludf.DUMMYFUNCTION("IMPORTRANGE(""https://docs.google.com/spreadsheets/d/1C3CXT74ZlgGe6_JY_1olB1XN4rF0dxEuIIF-xsYjHgg/edit?usp=sharing"",""กปร!F70"")"),5000)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IFERROR(__xludf.DUMMYFUNCTION("IMPORTRANGE(""https://docs.google.com/spreadsheets/d/1C3CXT74ZlgGe6_JY_1olB1XN4rF0dxEuIIF-xsYjHgg/edit?usp=sharing"",""พรบ!AQ70"")"),0)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IFERROR(__xludf.DUMMYFUNCTION("IMPORTRANGE(""https://docs.google.com/spreadsheets/d/1C3CXT74ZlgGe6_JY_1olB1XN4rF0dxEuIIF-xsYjHgg/edit?usp=sharing"",""กปร!G70"")"),0)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229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40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215700</v>
      </c>
      <c r="M129" s="147">
        <f>SUM(M130:M131)</f>
        <v>1975</v>
      </c>
      <c r="N129" s="147">
        <f t="shared" ref="N129:N132" ca="1" si="33">+IF(L129&gt;0,M129*100/L129,0)</f>
        <v>0.91562355122855821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215700</v>
      </c>
      <c r="M131" s="49">
        <f>M132</f>
        <v>1975</v>
      </c>
      <c r="N131" s="49">
        <f t="shared" ca="1" si="33"/>
        <v>0.91562355122855821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IFERROR(__xludf.DUMMYFUNCTION("IMPORTRANGE(""https://docs.google.com/spreadsheets/d/1C3CXT74ZlgGe6_JY_1olB1XN4rF0dxEuIIF-xsYjHgg/edit?usp=sharing"",""พรบ!AR70"")"),215700)</f>
        <v>215700</v>
      </c>
      <c r="M132" s="53">
        <v>1975</v>
      </c>
      <c r="N132" s="52">
        <f t="shared" ca="1" si="33"/>
        <v>0.91562355122855821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1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1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IFERROR(__xludf.DUMMYFUNCTION("IMPORTRANGE(""https://docs.google.com/spreadsheets/d/1C3CXT74ZlgGe6_JY_1olB1XN4rF0dxEuIIF-xsYjHgg/edit?usp=sharing"",""พรบ!AS70"")"),40)</f>
        <v>40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IFERROR(__xludf.DUMMYFUNCTION("IMPORTRANGE(""https://docs.google.com/spreadsheets/d/1C3CXT74ZlgGe6_JY_1olB1XN4rF0dxEuIIF-xsYjHgg/edit?usp=sharing"",""กปร!H70"")"),36200)</f>
        <v>36200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IFERROR(__xludf.DUMMYFUNCTION("IMPORTRANGE(""https://docs.google.com/spreadsheets/d/1C3CXT74ZlgGe6_JY_1olB1XN4rF0dxEuIIF-xsYjHgg/edit?usp=sharing"",""พรบ!AT70"")"),1)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IFERROR(__xludf.DUMMYFUNCTION("IMPORTRANGE(""https://docs.google.com/spreadsheets/d/1C3CXT74ZlgGe6_JY_1olB1XN4rF0dxEuIIF-xsYjHgg/edit?usp=sharing"",""กปร!I70"")"),0)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IFERROR(__xludf.DUMMYFUNCTION("IMPORTRANGE(""https://docs.google.com/spreadsheets/d/1C3CXT74ZlgGe6_JY_1olB1XN4rF0dxEuIIF-xsYjHgg/edit?usp=sharing"",""พรบ!AU70"")"),0)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IFERROR(__xludf.DUMMYFUNCTION("IMPORTRANGE(""https://docs.google.com/spreadsheets/d/1C3CXT74ZlgGe6_JY_1olB1XN4rF0dxEuIIF-xsYjHgg/edit?usp=sharing"",""กปร!J70"")"),10000)</f>
        <v>10000</v>
      </c>
      <c r="M141" s="361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20</v>
      </c>
      <c r="K144" s="137">
        <f ca="1">IF(I144&gt;0,J144*100/I144,0)</f>
        <v>133.33333333333334</v>
      </c>
      <c r="L144" s="138">
        <f ca="1">L145+L146</f>
        <v>21125</v>
      </c>
      <c r="M144" s="138">
        <f>SUM(M145:M146)</f>
        <v>20125</v>
      </c>
      <c r="N144" s="137">
        <f ca="1">IF(L144&gt;0,M144*100/L144,0)</f>
        <v>95.26627218934911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20125</v>
      </c>
      <c r="N146" s="49">
        <f t="shared" ca="1" si="37"/>
        <v>95.26627218934911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IFERROR(__xludf.DUMMYFUNCTION("IMPORTRANGE(""https://docs.google.com/spreadsheets/d/1C3CXT74ZlgGe6_JY_1olB1XN4rF0dxEuIIF-xsYjHgg/edit?usp=sharing"",""พรบ!AY70"")"),21125)</f>
        <v>21125</v>
      </c>
      <c r="M148" s="53">
        <v>20125</v>
      </c>
      <c r="N148" s="52">
        <f t="shared" ca="1" si="37"/>
        <v>95.26627218934911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20</v>
      </c>
      <c r="K149" s="137">
        <f ca="1">IF(I149&gt;0,J149*100/I149,0)</f>
        <v>133.33333333333334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IFERROR(__xludf.DUMMYFUNCTION("IMPORTRANGE(""https://docs.google.com/spreadsheets/d/1C3CXT74ZlgGe6_JY_1olB1XN4rF0dxEuIIF-xsYjHgg/edit?usp=sharing"",""พรบ!BA70"")"),15)</f>
        <v>15</v>
      </c>
      <c r="J155" s="67">
        <v>20</v>
      </c>
      <c r="K155" s="48">
        <f ca="1">IF(I155&gt;0,J155*100/I155,0)</f>
        <v>133.33333333333334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IFERROR(__xludf.DUMMYFUNCTION("IMPORTRANGE(""https://docs.google.com/spreadsheets/d/1C3CXT74ZlgGe6_JY_1olB1XN4rF0dxEuIIF-xsYjHgg/edit?usp=sharing"",""พรบ!BD70"")"),0)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IFERROR(__xludf.DUMMYFUNCTION("IMPORTRANGE(""https://docs.google.com/spreadsheets/d/1C3CXT74ZlgGe6_JY_1olB1XN4rF0dxEuIIF-xsYjHgg/edit?usp=sharing"",""พรบ!BE70"")"),0)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IFERROR(__xludf.DUMMYFUNCTION("IMPORTRANGE(""https://docs.google.com/spreadsheets/d/1C3CXT74ZlgGe6_JY_1olB1XN4rF0dxEuIIF-xsYjHgg/edit?usp=sharing"",""พรบ!BF70"")"),0)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IFERROR(__xludf.DUMMYFUNCTION("IMPORTRANGE(""https://docs.google.com/spreadsheets/d/1C3CXT74ZlgGe6_JY_1olB1XN4rF0dxEuIIF-xsYjHgg/edit?usp=sharing"",""พรบ!BG70"")"),0)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IFERROR(__xludf.DUMMYFUNCTION("IMPORTRANGE(""https://docs.google.com/spreadsheets/d/1C3CXT74ZlgGe6_JY_1olB1XN4rF0dxEuIIF-xsYjHgg/edit?usp=sharing"",""พรบ!BH70"")"),0)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IFERROR(__xludf.DUMMYFUNCTION("IMPORTRANGE(""https://docs.google.com/spreadsheets/d/1C3CXT74ZlgGe6_JY_1olB1XN4rF0dxEuIIF-xsYjHgg/edit?usp=sharing"",""พรบ!BI70"")"),0)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IFERROR(__xludf.DUMMYFUNCTION("IMPORTRANGE(""https://docs.google.com/spreadsheets/d/1C3CXT74ZlgGe6_JY_1olB1XN4rF0dxEuIIF-xsYjHgg/edit?usp=sharing"",""พรบ!BK70"")"),0)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IFERROR(__xludf.DUMMYFUNCTION("IMPORTRANGE(""https://docs.google.com/spreadsheets/d/1C3CXT74ZlgGe6_JY_1olB1XN4rF0dxEuIIF-xsYjHgg/edit?usp=sharing"",""พรบ!BL70"")"),0)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IFERROR(__xludf.DUMMYFUNCTION("IMPORTRANGE(""https://docs.google.com/spreadsheets/d/1C3CXT74ZlgGe6_JY_1olB1XN4rF0dxEuIIF-xsYjHgg/edit?usp=sharing"",""พรบ!BM70"")"),0)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IFERROR(__xludf.DUMMYFUNCTION("IMPORTRANGE(""https://docs.google.com/spreadsheets/d/1C3CXT74ZlgGe6_JY_1olB1XN4rF0dxEuIIF-xsYjHgg/edit?usp=sharing"",""พรบ!BP70"")"),0)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IFERROR(__xludf.DUMMYFUNCTION("IMPORTRANGE(""https://docs.google.com/spreadsheets/d/1C3CXT74ZlgGe6_JY_1olB1XN4rF0dxEuIIF-xsYjHgg/edit?usp=sharing"",""พรบ!BQ70"")"),0)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IFERROR(__xludf.DUMMYFUNCTION("IMPORTRANGE(""https://docs.google.com/spreadsheets/d/1C3CXT74ZlgGe6_JY_1olB1XN4rF0dxEuIIF-xsYjHgg/edit?usp=sharing"",""พรบ!BR70"")"),0)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IFERROR(__xludf.DUMMYFUNCTION("IMPORTRANGE(""https://docs.google.com/spreadsheets/d/1C3CXT74ZlgGe6_JY_1olB1XN4rF0dxEuIIF-xsYjHgg/edit?usp=sharing"",""พรบ!BU70"")"),0)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IFERROR(__xludf.DUMMYFUNCTION("IMPORTRANGE(""https://docs.google.com/spreadsheets/d/1C3CXT74ZlgGe6_JY_1olB1XN4rF0dxEuIIF-xsYjHgg/edit?usp=sharing"",""พรบ!BV70"")"),0)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486110</v>
      </c>
      <c r="M228" s="179">
        <f>SUM(M229:M230)</f>
        <v>29115.16</v>
      </c>
      <c r="N228" s="178">
        <f ca="1">IF(L228&gt;0,M228*100/L228,0)</f>
        <v>5.9894180329555038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486110</v>
      </c>
      <c r="M230" s="52">
        <f t="shared" si="51"/>
        <v>29115.16</v>
      </c>
      <c r="N230" s="52">
        <f t="shared" ca="1" si="50"/>
        <v>5.9894180329555038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IFERROR(__xludf.DUMMYFUNCTION("IMPORTRANGE(""https://docs.google.com/spreadsheets/d/1C3CXT74ZlgGe6_JY_1olB1XN4rF0dxEuIIF-xsYjHgg/edit?usp=sharing"",""พรบ!BX70"")"),306000)</f>
        <v>306000</v>
      </c>
      <c r="M231" s="53">
        <v>5115.16</v>
      </c>
      <c r="N231" s="52">
        <f t="shared" ca="1" si="50"/>
        <v>1.6716209150326797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IFERROR(__xludf.DUMMYFUNCTION("IMPORTRANGE(""https://docs.google.com/spreadsheets/d/1C3CXT74ZlgGe6_JY_1olB1XN4rF0dxEuIIF-xsYjHgg/edit?usp=sharing"",""พรบ!BY70"")"),180110)</f>
        <v>180110</v>
      </c>
      <c r="M232" s="53">
        <v>24000</v>
      </c>
      <c r="N232" s="52">
        <f t="shared" ca="1" si="50"/>
        <v>13.325190161567932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IFERROR(__xludf.DUMMYFUNCTION("IMPORTRANGE(""https://docs.google.com/spreadsheets/d/1AGHcLOeeYFL3K4b9R1dSzyJy00PE_ra89DNTVfnxSWM/edit?usp=sharing"",""รวมที่ทำกิน!J59"")"),0)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IFERROR(__xludf.DUMMYFUNCTION("IMPORTRANGE(""https://docs.google.com/spreadsheets/d/1C3CXT74ZlgGe6_JY_1olB1XN4rF0dxEuIIF-xsYjHgg/edit?usp=sharing"",""พรบ!BZ70"")"),0)</f>
        <v>0</v>
      </c>
      <c r="J235" s="66">
        <f ca="1">IFERROR(__xludf.DUMMYFUNCTION("IMPORTRANGE(""https://docs.google.com/spreadsheets/d/1AGHcLOeeYFL3K4b9R1dSzyJy00PE_ra89DNTVfnxSWM/edit?usp=sharing"",""รวมที่ทำกิน!L59"")"),0)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IFERROR(__xludf.DUMMYFUNCTION("IMPORTRANGE(""https://docs.google.com/spreadsheets/d/1C3CXT74ZlgGe6_JY_1olB1XN4rF0dxEuIIF-xsYjHgg/edit?usp=sharing"",""พรบ!CA70"")"),0)</f>
        <v>0</v>
      </c>
      <c r="J236" s="66">
        <f ca="1">IFERROR(__xludf.DUMMYFUNCTION("IMPORTRANGE(""https://docs.google.com/spreadsheets/d/1AGHcLOeeYFL3K4b9R1dSzyJy00PE_ra89DNTVfnxSWM/edit?usp=sharing"",""รวมที่ทำกิน!O59"")"),0)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IFERROR(__xludf.DUMMYFUNCTION("IMPORTRANGE(""https://docs.google.com/spreadsheets/d/1AGHcLOeeYFL3K4b9R1dSzyJy00PE_ra89DNTVfnxSWM/edit?usp=sharing"",""รวมที่ทำกิน!Q59"")"),0)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IFERROR(__xludf.DUMMYFUNCTION("IMPORTRANGE(""https://docs.google.com/spreadsheets/d/1C3CXT74ZlgGe6_JY_1olB1XN4rF0dxEuIIF-xsYjHgg/edit?usp=sharing"",""พรบ!CB70"")"),0)</f>
        <v>0</v>
      </c>
      <c r="J238" s="66">
        <f ca="1">IFERROR(__xludf.DUMMYFUNCTION("IMPORTRANGE(""https://docs.google.com/spreadsheets/d/1AGHcLOeeYFL3K4b9R1dSzyJy00PE_ra89DNTVfnxSWM/edit?usp=sharing"",""รวมที่ทำกิน!S59"")"),0)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IFERROR(__xludf.DUMMYFUNCTION("IMPORTRANGE(""https://docs.google.com/spreadsheets/d/1AGHcLOeeYFL3K4b9R1dSzyJy00PE_ra89DNTVfnxSWM/edit?usp=sharing"",""รวมที่ทำกิน!U59"")"),0)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IFERROR(__xludf.DUMMYFUNCTION("IMPORTRANGE(""https://docs.google.com/spreadsheets/d/1C3CXT74ZlgGe6_JY_1olB1XN4rF0dxEuIIF-xsYjHgg/edit?usp=sharing"",""พรบ!CC70"")"),0)</f>
        <v>0</v>
      </c>
      <c r="J240" s="66">
        <f ca="1">IFERROR(__xludf.DUMMYFUNCTION("IMPORTRANGE(""https://docs.google.com/spreadsheets/d/1AGHcLOeeYFL3K4b9R1dSzyJy00PE_ra89DNTVfnxSWM/edit?usp=sharing"",""รวมที่ทำกิน!W59"")"),0)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IFERROR(__xludf.DUMMYFUNCTION("IMPORTRANGE(""https://docs.google.com/spreadsheets/d/1AGHcLOeeYFL3K4b9R1dSzyJy00PE_ra89DNTVfnxSWM/edit?usp=sharing"",""รวมที่ทำกิน!Y59"")"),0)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595847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IFERROR(__xludf.DUMMYFUNCTION("IMPORTRANGE(""https://docs.google.com/spreadsheets/d/1C3CXT74ZlgGe6_JY_1olB1XN4rF0dxEuIIF-xsYjHgg/edit?usp=sharing"",""งบกองทุน!d70"")"),0)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IFERROR(__xludf.DUMMYFUNCTION("IMPORTRANGE(""https://docs.google.com/spreadsheets/d/1C3CXT74ZlgGe6_JY_1olB1XN4rF0dxEuIIF-xsYjHgg/edit?usp=sharing"",""งบกองทุน!e70"")"),0)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IFERROR(__xludf.DUMMYFUNCTION("IMPORTRANGE(""https://docs.google.com/spreadsheets/d/1C3CXT74ZlgGe6_JY_1olB1XN4rF0dxEuIIF-xsYjHgg/edit?usp=sharing"",""งบกองทุน!f70"")"),0)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232">
        <f t="shared" ref="K262:K268" ca="1" si="60">IF(I262&gt;0,J262*100/I262,0)</f>
        <v>0</v>
      </c>
      <c r="L262" s="52"/>
      <c r="M262" s="52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IFERROR(__xludf.DUMMYFUNCTION("IMPORTRANGE(""https://docs.google.com/spreadsheets/d/1C3CXT74ZlgGe6_JY_1olB1XN4rF0dxEuIIF-xsYjHgg/edit?usp=sharing"",""งบกองทุน!H70"")"),0)</f>
        <v>0</v>
      </c>
      <c r="J263" s="66">
        <f>J267</f>
        <v>0</v>
      </c>
      <c r="K263" s="232">
        <f t="shared" ca="1" si="60"/>
        <v>0</v>
      </c>
      <c r="L263" s="52"/>
      <c r="M263" s="52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IFERROR(__xludf.DUMMYFUNCTION("IMPORTRANGE(""https://docs.google.com/spreadsheets/d/1C3CXT74ZlgGe6_JY_1olB1XN4rF0dxEuIIF-xsYjHgg/edit?usp=sharing"",""งบกองทุน!i70"")"),0)</f>
        <v>0</v>
      </c>
      <c r="J264" s="66">
        <v>0</v>
      </c>
      <c r="K264" s="232">
        <f t="shared" ca="1" si="60"/>
        <v>0</v>
      </c>
      <c r="L264" s="52"/>
      <c r="M264" s="52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232">
        <f t="shared" ca="1" si="60"/>
        <v>0</v>
      </c>
      <c r="L265" s="52"/>
      <c r="M265" s="52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IFERROR(__xludf.DUMMYFUNCTION("IMPORTRANGE(""https://docs.google.com/spreadsheets/d/1C3CXT74ZlgGe6_JY_1olB1XN4rF0dxEuIIF-xsYjHgg/edit?usp=sharing"",""งบกองทุน!k70"")"),0)</f>
        <v>0</v>
      </c>
      <c r="J266" s="66">
        <v>0</v>
      </c>
      <c r="K266" s="232">
        <f t="shared" ca="1" si="60"/>
        <v>0</v>
      </c>
      <c r="L266" s="52"/>
      <c r="M266" s="52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232">
        <f t="shared" ca="1" si="60"/>
        <v>0</v>
      </c>
      <c r="L267" s="52"/>
      <c r="M267" s="52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IFERROR(__xludf.DUMMYFUNCTION("IMPORTRANGE(""https://docs.google.com/spreadsheets/d/1C3CXT74ZlgGe6_JY_1olB1XN4rF0dxEuIIF-xsYjHgg/edit?usp=sharing"",""งบกองทุน!m70"")"),0)</f>
        <v>0</v>
      </c>
      <c r="J268" s="66">
        <v>0</v>
      </c>
      <c r="K268" s="232">
        <f t="shared" ca="1" si="60"/>
        <v>0</v>
      </c>
      <c r="L268" s="52"/>
      <c r="M268" s="52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232"/>
      <c r="L269" s="52"/>
      <c r="M269" s="52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232">
        <f t="shared" ref="K270:K272" ca="1" si="62">IF(I270&gt;0,J270*100/I270,0)</f>
        <v>0</v>
      </c>
      <c r="L270" s="52"/>
      <c r="M270" s="52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IFERROR(__xludf.DUMMYFUNCTION("IMPORTRANGE(""https://docs.google.com/spreadsheets/d/1C3CXT74ZlgGe6_JY_1olB1XN4rF0dxEuIIF-xsYjHgg/edit?usp=sharing"",""งบกองทุน!o70"")"),0)</f>
        <v>0</v>
      </c>
      <c r="J271" s="66">
        <v>0</v>
      </c>
      <c r="K271" s="232">
        <f t="shared" ca="1" si="62"/>
        <v>0</v>
      </c>
      <c r="L271" s="52"/>
      <c r="M271" s="52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IFERROR(__xludf.DUMMYFUNCTION("IMPORTRANGE(""https://docs.google.com/spreadsheets/d/1C3CXT74ZlgGe6_JY_1olB1XN4rF0dxEuIIF-xsYjHgg/edit?usp=sharing"",""งบกองทุน!p70"")"),0)</f>
        <v>0</v>
      </c>
      <c r="J272" s="66">
        <v>0</v>
      </c>
      <c r="K272" s="232">
        <f t="shared" ca="1" si="62"/>
        <v>0</v>
      </c>
      <c r="L272" s="52"/>
      <c r="M272" s="52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232"/>
      <c r="L273" s="52"/>
      <c r="M273" s="52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232"/>
      <c r="L274" s="52"/>
      <c r="M274" s="52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IFERROR(__xludf.DUMMYFUNCTION("IMPORTRANGE(""https://docs.google.com/spreadsheets/d/1C3CXT74ZlgGe6_JY_1olB1XN4rF0dxEuIIF-xsYjHgg/edit?usp=sharing"",""งบกองทุน!r70"")"),0)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IFERROR(__xludf.DUMMYFUNCTION("IMPORTRANGE(""https://docs.google.com/spreadsheets/d/1C3CXT74ZlgGe6_JY_1olB1XN4rF0dxEuIIF-xsYjHgg/edit?usp=sharing"",""งบกองทุน!s70"")"),0)</f>
        <v>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2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2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2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2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66"/>
      <c r="K285" s="232"/>
      <c r="L285" s="52"/>
      <c r="M285" s="52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6">
        <v>0</v>
      </c>
      <c r="K286" s="232"/>
      <c r="L286" s="52"/>
      <c r="M286" s="52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6">
        <v>1</v>
      </c>
      <c r="K287" s="232"/>
      <c r="L287" s="52" t="s">
        <v>21</v>
      </c>
      <c r="M287" s="52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6">
        <v>1</v>
      </c>
      <c r="K288" s="232"/>
      <c r="L288" s="52"/>
      <c r="M288" s="52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6">
        <v>0</v>
      </c>
      <c r="K289" s="232"/>
      <c r="L289" s="52"/>
      <c r="M289" s="52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232"/>
      <c r="L290" s="52"/>
      <c r="M290" s="52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IFERROR(__xludf.DUMMYFUNCTION("IMPORTRANGE(""https://docs.google.com/spreadsheets/d/1C3CXT74ZlgGe6_JY_1olB1XN4rF0dxEuIIF-xsYjHgg/edit?usp=sharing"",""งบกองทุน!v70"")"),0)</f>
        <v>0</v>
      </c>
      <c r="J291" s="66">
        <v>0</v>
      </c>
      <c r="K291" s="232">
        <f t="shared" ref="K291:K293" ca="1" si="67">IF(I291&gt;0,J291*100/I291,0)</f>
        <v>0</v>
      </c>
      <c r="L291" s="52"/>
      <c r="M291" s="52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IFERROR(__xludf.DUMMYFUNCTION("IMPORTRANGE(""https://docs.google.com/spreadsheets/d/1C3CXT74ZlgGe6_JY_1olB1XN4rF0dxEuIIF-xsYjHgg/edit?usp=sharing"",""งบกองทุน!w70"")"),0)</f>
        <v>0</v>
      </c>
      <c r="J292" s="66">
        <v>0</v>
      </c>
      <c r="K292" s="232">
        <f t="shared" ca="1" si="67"/>
        <v>0</v>
      </c>
      <c r="L292" s="52"/>
      <c r="M292" s="52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IFERROR(__xludf.DUMMYFUNCTION("IMPORTRANGE(""https://docs.google.com/spreadsheets/d/1C3CXT74ZlgGe6_JY_1olB1XN4rF0dxEuIIF-xsYjHgg/edit?usp=sharing"",""งบกองทุน!x70"")"),0)</f>
        <v>0</v>
      </c>
      <c r="J293" s="66">
        <v>0</v>
      </c>
      <c r="K293" s="232">
        <f t="shared" ca="1" si="67"/>
        <v>0</v>
      </c>
      <c r="L293" s="52"/>
      <c r="M293" s="52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6">
        <v>0</v>
      </c>
      <c r="K294" s="232"/>
      <c r="L294" s="52"/>
      <c r="M294" s="52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356">
        <v>0</v>
      </c>
      <c r="K295" s="232"/>
      <c r="L295" s="52"/>
      <c r="M295" s="52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225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230070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75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230070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IFERROR(__xludf.DUMMYFUNCTION("IMPORTRANGE(""https://docs.google.com/spreadsheets/d/1C3CXT74ZlgGe6_JY_1olB1XN4rF0dxEuIIF-xsYjHgg/edit?usp=sharing"",""งบกองทุน!z70"")"),0)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IFERROR(__xludf.DUMMYFUNCTION("IMPORTRANGE(""https://docs.google.com/spreadsheets/d/1C3CXT74ZlgGe6_JY_1olB1XN4rF0dxEuIIF-xsYjHgg/edit?usp=sharing"",""งบกองทุน!aa70"")"),230070)</f>
        <v>230070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75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IFERROR(__xludf.DUMMYFUNCTION("IMPORTRANGE(""https://docs.google.com/spreadsheets/d/1C3CXT74ZlgGe6_JY_1olB1XN4rF0dxEuIIF-xsYjHgg/edit?usp=sharing"",""งบกองทุน!ae70"")"),0)</f>
        <v>0</v>
      </c>
      <c r="J312" s="364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IFERROR(__xludf.DUMMYFUNCTION("IMPORTRANGE(""https://docs.google.com/spreadsheets/d/1C3CXT74ZlgGe6_JY_1olB1XN4rF0dxEuIIF-xsYjHgg/edit?usp=sharing"",""งบกองทุน!ad70"")"),0)</f>
        <v>0</v>
      </c>
      <c r="J313" s="364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IFERROR(__xludf.DUMMYFUNCTION("IMPORTRANGE(""https://docs.google.com/spreadsheets/d/1C3CXT74ZlgGe6_JY_1olB1XN4rF0dxEuIIF-xsYjHgg/edit?usp=sharing"",""งบกองทุน!af70"")"),0)</f>
        <v>0</v>
      </c>
      <c r="J314" s="365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IFERROR(__xludf.DUMMYFUNCTION("IMPORTRANGE(""https://docs.google.com/spreadsheets/d/1C3CXT74ZlgGe6_JY_1olB1XN4rF0dxEuIIF-xsYjHgg/edit?usp=sharing"",""งบกองทุน!ag70"")"),0)</f>
        <v>0</v>
      </c>
      <c r="J315" s="365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IFERROR(__xludf.DUMMYFUNCTION("IMPORTRANGE(""https://docs.google.com/spreadsheets/d/1C3CXT74ZlgGe6_JY_1olB1XN4rF0dxEuIIF-xsYjHgg/edit?usp=sharing"",""งบกองทุน!ai70"")"),65)</f>
        <v>65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IFERROR(__xludf.DUMMYFUNCTION("IMPORTRANGE(""https://docs.google.com/spreadsheets/d/1C3CXT74ZlgGe6_JY_1olB1XN4rF0dxEuIIF-xsYjHgg/edit?usp=sharing"",""งบกองทุน!ah70"")"),195)</f>
        <v>195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IFERROR(__xludf.DUMMYFUNCTION("IMPORTRANGE(""https://docs.google.com/spreadsheets/d/1C3CXT74ZlgGe6_JY_1olB1XN4rF0dxEuIIF-xsYjHgg/edit?usp=sharing"",""งบกองทุน!aj70"")"),65)</f>
        <v>65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IFERROR(__xludf.DUMMYFUNCTION("IMPORTRANGE(""https://docs.google.com/spreadsheets/d/1C3CXT74ZlgGe6_JY_1olB1XN4rF0dxEuIIF-xsYjHgg/edit?usp=sharing"",""งบกองทุน!ak70"")"),65)</f>
        <v>65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IFERROR(__xludf.DUMMYFUNCTION("IMPORTRANGE(""https://docs.google.com/spreadsheets/d/1C3CXT74ZlgGe6_JY_1olB1XN4rF0dxEuIIF-xsYjHgg/edit?usp=sharing"",""งบกองทุน!al70"")"),65)</f>
        <v>65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IFERROR(__xludf.DUMMYFUNCTION("IMPORTRANGE(""https://docs.google.com/spreadsheets/d/1C3CXT74ZlgGe6_JY_1olB1XN4rF0dxEuIIF-xsYjHgg/edit?usp=sharing"",""งบกองทุน!an70"")"),10)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IFERROR(__xludf.DUMMYFUNCTION("IMPORTRANGE(""https://docs.google.com/spreadsheets/d/1C3CXT74ZlgGe6_JY_1olB1XN4rF0dxEuIIF-xsYjHgg/edit?usp=sharing"",""งบกองทุน!am70"")"),30)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IFERROR(__xludf.DUMMYFUNCTION("IMPORTRANGE(""https://docs.google.com/spreadsheets/d/1C3CXT74ZlgGe6_JY_1olB1XN4rF0dxEuIIF-xsYjHgg/edit?usp=sharing"",""งบกองทุน!ao70"")"),10)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IFERROR(__xludf.DUMMYFUNCTION("IMPORTRANGE(""https://docs.google.com/spreadsheets/d/1C3CXT74ZlgGe6_JY_1olB1XN4rF0dxEuIIF-xsYjHgg/edit?usp=sharing"",""งบกองทุน!ap70"")"),10)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65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IFERROR(__xludf.DUMMYFUNCTION("IMPORTRANGE(""https://docs.google.com/spreadsheets/d/1C3CXT74ZlgGe6_JY_1olB1XN4rF0dxEuIIF-xsYjHgg/edit?usp=sharing"",""งบกองทุน!ar70"")"),0)</f>
        <v>0</v>
      </c>
      <c r="J326" s="365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IFERROR(__xludf.DUMMYFUNCTION("IMPORTRANGE(""https://docs.google.com/spreadsheets/d/1C3CXT74ZlgGe6_JY_1olB1XN4rF0dxEuIIF-xsYjHgg/edit?usp=sharing"",""งบกองทุน!as70"")"),65)</f>
        <v>65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IFERROR(__xludf.DUMMYFUNCTION("IMPORTRANGE(""https://docs.google.com/spreadsheets/d/1C3CXT74ZlgGe6_JY_1olB1XN4rF0dxEuIIF-xsYjHgg/edit?usp=sharing"",""งบกองทุน!au70"")"),0)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IFERROR(__xludf.DUMMYFUNCTION("IMPORTRANGE(""https://docs.google.com/spreadsheets/d/1C3CXT74ZlgGe6_JY_1olB1XN4rF0dxEuIIF-xsYjHgg/edit?usp=sharing"",""งบกองทุน!av70"")"),95000)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/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20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IFERROR(__xludf.DUMMYFUNCTION("IMPORTRANGE(""https://docs.google.com/spreadsheets/d/1C3CXT74ZlgGe6_JY_1olB1XN4rF0dxEuIIF-xsYjHgg/edit?usp=sharing"",""งบกองทุน!ay70"")"),20)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IFERROR(__xludf.DUMMYFUNCTION("IMPORTRANGE(""https://docs.google.com/spreadsheets/d/1C3CXT74ZlgGe6_JY_1olB1XN4rF0dxEuIIF-xsYjHgg/edit?usp=sharing"",""งบกองทุน!az70"")"),0)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IFERROR(__xludf.DUMMYFUNCTION("IMPORTRANGE(""https://docs.google.com/spreadsheets/d/1C3CXT74ZlgGe6_JY_1olB1XN4rF0dxEuIIF-xsYjHgg/edit?usp=sharing"",""งบกองทุน!Ba70"")"),0)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2147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103457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103457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IFERROR(__xludf.DUMMYFUNCTION("IMPORTRANGE(""https://docs.google.com/spreadsheets/d/1C3CXT74ZlgGe6_JY_1olB1XN4rF0dxEuIIF-xsYjHgg/edit?usp=sharing"",""งบกองทุน!Bc70"")"),0)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IFERROR(__xludf.DUMMYFUNCTION("IMPORTRANGE(""https://docs.google.com/spreadsheets/d/1C3CXT74ZlgGe6_JY_1olB1XN4rF0dxEuIIF-xsYjHgg/edit?usp=sharing"",""งบกองทุน!Bd70"")"),103457)</f>
        <v>103457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IFERROR(__xludf.DUMMYFUNCTION("IMPORTRANGE(""https://docs.google.com/spreadsheets/d/1C3CXT74ZlgGe6_JY_1olB1XN4rF0dxEuIIF-xsYjHgg/edit?usp=sharing"",""งบกองทุน!BE70"")"),2147)</f>
        <v>2147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IFERROR(__xludf.DUMMYFUNCTION("IMPORTRANGE(""https://docs.google.com/spreadsheets/d/1C3CXT74ZlgGe6_JY_1olB1XN4rF0dxEuIIF-xsYjHgg/edit?usp=sharing"",""งบกองทุน!BE70"")"),2147)</f>
        <v>2147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IFERROR(__xludf.DUMMYFUNCTION("IMPORTRANGE(""https://docs.google.com/spreadsheets/d/1C3CXT74ZlgGe6_JY_1olB1XN4rF0dxEuIIF-xsYjHgg/edit?usp=sharing"",""งบกองทุน!Bf70"")"),227)</f>
        <v>227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2147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227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2147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227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IFERROR(__xludf.DUMMYFUNCTION("IMPORTRANGE(""https://docs.google.com/spreadsheets/d/1C3CXT74ZlgGe6_JY_1olB1XN4rF0dxEuIIF-xsYjHgg/edit?usp=sharing"",""งบกองทุน!cd70"")"),0)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IFERROR(__xludf.DUMMYFUNCTION("IMPORTRANGE(""https://docs.google.com/spreadsheets/d/1C3CXT74ZlgGe6_JY_1olB1XN4rF0dxEuIIF-xsYjHgg/edit?usp=sharing"",""งบกองทุน!cd70"")"),0)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IFERROR(__xludf.DUMMYFUNCTION("IMPORTRANGE(""https://docs.google.com/spreadsheets/d/1C3CXT74ZlgGe6_JY_1olB1XN4rF0dxEuIIF-xsYjHgg/edit?usp=sharing"",""งบกองทุน!cc70"")"),0)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IFERROR(__xludf.DUMMYFUNCTION("IMPORTRANGE(""https://docs.google.com/spreadsheets/d/1C3CXT74ZlgGe6_JY_1olB1XN4rF0dxEuIIF-xsYjHgg/edit?usp=sharing"",""งบกองทุน!cz70"")"),0)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IFERROR(__xludf.DUMMYFUNCTION("IMPORTRANGE(""https://docs.google.com/spreadsheets/d/1C3CXT74ZlgGe6_JY_1olB1XN4rF0dxEuIIF-xsYjHgg/edit?usp=sharing"",""งบกองทุน!cz70"")"),0)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IFERROR(__xludf.DUMMYFUNCTION("IMPORTRANGE(""https://docs.google.com/spreadsheets/d/1C3CXT74ZlgGe6_JY_1olB1XN4rF0dxEuIIF-xsYjHgg/edit?usp=sharing"",""งบกองทุน!cy70"")"),0)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IFERROR(__xludf.DUMMYFUNCTION("IMPORTRANGE(""https://docs.google.com/spreadsheets/d/1C3CXT74ZlgGe6_JY_1olB1XN4rF0dxEuIIF-xsYjHgg/edit?usp=sharing"",""งบกองทุน!db70"")"),0)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IFERROR(__xludf.DUMMYFUNCTION("IMPORTRANGE(""https://docs.google.com/spreadsheets/d/1C3CXT74ZlgGe6_JY_1olB1XN4rF0dxEuIIF-xsYjHgg/edit?usp=sharing"",""งบกองทุน!da70"")"),0)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IFERROR(__xludf.DUMMYFUNCTION("IMPORTRANGE(""https://docs.google.com/spreadsheets/d/1C3CXT74ZlgGe6_JY_1olB1XN4rF0dxEuIIF-xsYjHgg/edit?usp=sharing"",""งบกองทุน!dd70"")"),0)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IFERROR(__xludf.DUMMYFUNCTION("IMPORTRANGE(""https://docs.google.com/spreadsheets/d/1C3CXT74ZlgGe6_JY_1olB1XN4rF0dxEuIIF-xsYjHgg/edit?usp=sharing"",""งบกองทุน!dc70"")"),0)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IFERROR(__xludf.DUMMYFUNCTION("IMPORTRANGE(""https://docs.google.com/spreadsheets/d/1C3CXT74ZlgGe6_JY_1olB1XN4rF0dxEuIIF-xsYjHgg/edit?usp=sharing"",""งบกองทุน!df70"")"),0)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IFERROR(__xludf.DUMMYFUNCTION("IMPORTRANGE(""https://docs.google.com/spreadsheets/d/1C3CXT74ZlgGe6_JY_1olB1XN4rF0dxEuIIF-xsYjHgg/edit?usp=sharing"",""งบกองทุน!de70"")"),0)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IFERROR(__xludf.DUMMYFUNCTION("IMPORTRANGE(""https://docs.google.com/spreadsheets/d/1C3CXT74ZlgGe6_JY_1olB1XN4rF0dxEuIIF-xsYjHgg/edit?usp=sharing"",""งบกองทุน!dn70"")"),0)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IFERROR(__xludf.DUMMYFUNCTION("IMPORTRANGE(""https://docs.google.com/spreadsheets/d/1C3CXT74ZlgGe6_JY_1olB1XN4rF0dxEuIIF-xsYjHgg/edit?usp=sharing"",""งบกองทุน!do70"")"),34340)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IFERROR(__xludf.DUMMYFUNCTION("IMPORTRANGE(""https://docs.google.com/spreadsheets/d/1C3CXT74ZlgGe6_JY_1olB1XN4rF0dxEuIIF-xsYjHgg/edit?usp=sharing"",""งบกองทุน!dq70"")"),22)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IFERROR(__xludf.DUMMYFUNCTION("IMPORTRANGE(""https://docs.google.com/spreadsheets/d/1C3CXT74ZlgGe6_JY_1olB1XN4rF0dxEuIIF-xsYjHgg/edit?usp=sharing"",""งบกองทุน!dr70"")"),22)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IFERROR(__xludf.DUMMYFUNCTION("IMPORTRANGE(""https://docs.google.com/spreadsheets/d/1C3CXT74ZlgGe6_JY_1olB1XN4rF0dxEuIIF-xsYjHgg/edit?usp=sharing"",""งบกองทุน!dt70"")"),0)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IFERROR(__xludf.DUMMYFUNCTION("IMPORTRANGE(""https://docs.google.com/spreadsheets/d/1C3CXT74ZlgGe6_JY_1olB1XN4rF0dxEuIIF-xsYjHgg/edit?usp=sharing"",""งบกองทุน!du70"")"),0)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IFERROR(__xludf.DUMMYFUNCTION("IMPORTRANGE(""https://docs.google.com/spreadsheets/d/1C3CXT74ZlgGe6_JY_1olB1XN4rF0dxEuIIF-xsYjHgg/edit?usp=sharing"",""งบกองทุน!dw70"")"),0)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IFERROR(__xludf.DUMMYFUNCTION("IMPORTRANGE(""https://docs.google.com/spreadsheets/d/1C3CXT74ZlgGe6_JY_1olB1XN4rF0dxEuIIF-xsYjHgg/edit?usp=sharing"",""งบกองทุน!dx70"")"),0)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IFERROR(__xludf.DUMMYFUNCTION("IMPORTRANGE(""https://docs.google.com/spreadsheets/d/1C3CXT74ZlgGe6_JY_1olB1XN4rF0dxEuIIF-xsYjHgg/edit?usp=sharing"",""งบกองทุน!dy70"")"),0)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IFERROR(__xludf.DUMMYFUNCTION("IMPORTRANGE(""https://docs.google.com/spreadsheets/d/1C3CXT74ZlgGe6_JY_1olB1XN4rF0dxEuIIF-xsYjHgg/edit?usp=sharing"",""งบกองทุน!dz70"")"),0)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150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125680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125680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IFERROR(__xludf.DUMMYFUNCTION("IMPORTRANGE(""https://docs.google.com/spreadsheets/d/1C3CXT74ZlgGe6_JY_1olB1XN4rF0dxEuIIF-xsYjHgg/edit?usp=sharing"",""งบกองทุน!Eb70"")"),0)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IFERROR(__xludf.DUMMYFUNCTION("IMPORTRANGE(""https://docs.google.com/spreadsheets/d/1C3CXT74ZlgGe6_JY_1olB1XN4rF0dxEuIIF-xsYjHgg/edit?usp=sharing"",""งบกองทุน!Ec70"")"),125680)</f>
        <v>125680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IFERROR(__xludf.DUMMYFUNCTION("IMPORTRANGE(""https://docs.google.com/spreadsheets/d/1C3CXT74ZlgGe6_JY_1olB1XN4rF0dxEuIIF-xsYjHgg/edit?usp=sharing"",""งบกองทุน!Ed70"")"),150)</f>
        <v>150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/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IFERROR(__xludf.DUMMYFUNCTION("IMPORTRANGE(""https://docs.google.com/spreadsheets/d/1C3CXT74ZlgGe6_JY_1olB1XN4rF0dxEuIIF-xsYjHgg/edit?usp=sharing"",""งบกองทุน!Ek70"")"),0)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IFERROR(__xludf.DUMMYFUNCTION("IMPORTRANGE(""https://docs.google.com/spreadsheets/d/1C3CXT74ZlgGe6_JY_1olB1XN4rF0dxEuIIF-xsYjHgg/edit?usp=sharing"",""งบกองทุน!El70"")"),0)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IFERROR(__xludf.DUMMYFUNCTION("IMPORTRANGE(""https://docs.google.com/spreadsheets/d/1C3CXT74ZlgGe6_JY_1olB1XN4rF0dxEuIIF-xsYjHgg/edit?usp=sharing"",""งบกองทุน!Em70"")"),0)</f>
        <v>0</v>
      </c>
      <c r="J482" s="66">
        <f ca="1">IFERROR(__xludf.DUMMYFUNCTION("IMPORTRANGE(""https://docs.google.com/spreadsheets/d/1AGHcLOeeYFL3K4b9R1dSzyJy00PE_ra89DNTVfnxSWM/edit?usp=sharing"",""รวมที่ชุมชน!G59"")"),0)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IFERROR(__xludf.DUMMYFUNCTION("IMPORTRANGE(""https://docs.google.com/spreadsheets/d/1C3CXT74ZlgGe6_JY_1olB1XN4rF0dxEuIIF-xsYjHgg/edit?usp=sharing"",""งบกองทุน!En70"")"),0)</f>
        <v>0</v>
      </c>
      <c r="J483" s="66">
        <f ca="1">IFERROR(__xludf.DUMMYFUNCTION("IMPORTRANGE(""https://docs.google.com/spreadsheets/d/1AGHcLOeeYFL3K4b9R1dSzyJy00PE_ra89DNTVfnxSWM/edit?usp=sharing"",""รวมที่ชุมชน!H59"")"),0)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IFERROR(__xludf.DUMMYFUNCTION("IMPORTRANGE(""https://docs.google.com/spreadsheets/d/1C3CXT74ZlgGe6_JY_1olB1XN4rF0dxEuIIF-xsYjHgg/edit?usp=sharing"",""งบกองทุน!Eo70"")"),0)</f>
        <v>0</v>
      </c>
      <c r="J484" s="66">
        <f ca="1">IFERROR(__xludf.DUMMYFUNCTION("IMPORTRANGE(""https://docs.google.com/spreadsheets/d/1AGHcLOeeYFL3K4b9R1dSzyJy00PE_ra89DNTVfnxSWM/edit?usp=sharing"",""รวมที่ชุมชน!J59"")"),0)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IFERROR(__xludf.DUMMYFUNCTION("IMPORTRANGE(""https://docs.google.com/spreadsheets/d/1C3CXT74ZlgGe6_JY_1olB1XN4rF0dxEuIIF-xsYjHgg/edit?usp=sharing"",""งบกองทุน!Ep70"")"),0)</f>
        <v>0</v>
      </c>
      <c r="J485" s="66">
        <f ca="1">IFERROR(__xludf.DUMMYFUNCTION("IMPORTRANGE(""https://docs.google.com/spreadsheets/d/1AGHcLOeeYFL3K4b9R1dSzyJy00PE_ra89DNTVfnxSWM/edit?usp=sharing"",""รวมที่ชุมชน!L59"")"),0)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IFERROR(__xludf.DUMMYFUNCTION("IMPORTRANGE(""https://docs.google.com/spreadsheets/d/1C3CXT74ZlgGe6_JY_1olB1XN4rF0dxEuIIF-xsYjHgg/edit?usp=sharing"",""งบกองทุน!Eq70"")"),0)</f>
        <v>0</v>
      </c>
      <c r="J486" s="66">
        <f ca="1">IFERROR(__xludf.DUMMYFUNCTION("IMPORTRANGE(""https://docs.google.com/spreadsheets/d/1AGHcLOeeYFL3K4b9R1dSzyJy00PE_ra89DNTVfnxSWM/edit?usp=sharing"",""รวมที่ชุมชน!S59"")"),0)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IFERROR(__xludf.DUMMYFUNCTION("IMPORTRANGE(""https://docs.google.com/spreadsheets/d/1C3CXT74ZlgGe6_JY_1olB1XN4rF0dxEuIIF-xsYjHgg/edit?usp=sharing"",""งบกองทุน!Er70"")"),0)</f>
        <v>0</v>
      </c>
      <c r="J487" s="66">
        <f ca="1">IFERROR(__xludf.DUMMYFUNCTION("IMPORTRANGE(""https://docs.google.com/spreadsheets/d/1AGHcLOeeYFL3K4b9R1dSzyJy00PE_ra89DNTVfnxSWM/edit?usp=sharing"",""รวมที่ชุมชน!U59"")"),0)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IFERROR(__xludf.DUMMYFUNCTION("IMPORTRANGE(""https://docs.google.com/spreadsheets/d/1C3CXT74ZlgGe6_JY_1olB1XN4rF0dxEuIIF-xsYjHgg/edit?usp=sharing"",""งบกองทุน!Es70"")"),0)</f>
        <v>0</v>
      </c>
      <c r="J488" s="66">
        <f ca="1">IFERROR(__xludf.DUMMYFUNCTION("IMPORTRANGE(""https://docs.google.com/spreadsheets/d/1AGHcLOeeYFL3K4b9R1dSzyJy00PE_ra89DNTVfnxSWM/edit?usp=sharing"",""รวมที่ชุมชน!V59"")"),0)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IFERROR(__xludf.DUMMYFUNCTION("IMPORTRANGE(""https://docs.google.com/spreadsheets/d/1C3CXT74ZlgGe6_JY_1olB1XN4rF0dxEuIIF-xsYjHgg/edit?usp=sharing"",""งบกองทุน!Et70"")"),0)</f>
        <v>0</v>
      </c>
      <c r="J489" s="111">
        <f ca="1">IFERROR(__xludf.DUMMYFUNCTION("IMPORTRANGE(""https://docs.google.com/spreadsheets/d/1AGHcLOeeYFL3K4b9R1dSzyJy00PE_ra89DNTVfnxSWM/edit?usp=sharing"",""รวมที่ชุมชน!X59"")"),0)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100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7300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7300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IFERROR(__xludf.DUMMYFUNCTION("IMPORTRANGE(""https://docs.google.com/spreadsheets/d/1C3CXT74ZlgGe6_JY_1olB1XN4rF0dxEuIIF-xsYjHgg/edit?usp=sharing"",""งบกองทุน!Ev70"")"),0)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IFERROR(__xludf.DUMMYFUNCTION("IMPORTRANGE(""https://docs.google.com/spreadsheets/d/1C3CXT74ZlgGe6_JY_1olB1XN4rF0dxEuIIF-xsYjHgg/edit?usp=sharing"",""งบกองทุน!Ew70"")"),7300)</f>
        <v>7300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1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IFERROR(__xludf.DUMMYFUNCTION("IMPORTRANGE(""https://docs.google.com/spreadsheets/d/1C3CXT74ZlgGe6_JY_1olB1XN4rF0dxEuIIF-xsYjHgg/edit?usp=sharing"",""งบกองทุน!EZ70"")"),100)</f>
        <v>100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IFERROR(__xludf.DUMMYFUNCTION("IMPORTRANGE(""https://docs.google.com/spreadsheets/d/1C3CXT74ZlgGe6_JY_1olB1XN4rF0dxEuIIF-xsYjHgg/edit?usp=sharing"",""งบกองทุน!ff70"")"),0)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IFERROR(__xludf.DUMMYFUNCTION("IMPORTRANGE(""https://docs.google.com/spreadsheets/d/1muirlRDkqiswvy_NRZ3Yh955hx-PF6_HhssUYiSJj8o/edit?usp=sharing"",""กองทุน!D70"")"),313547.549999999)</f>
        <v>313547.549999999</v>
      </c>
      <c r="J521" s="199">
        <f ca="1">IFERROR(__xludf.DUMMYFUNCTION("IMPORTRANGE(""https://docs.google.com/spreadsheets/d/1muirlRDkqiswvy_NRZ3Yh955hx-PF6_HhssUYiSJj8o/edit?usp=sharing"",""กองทุน!F70"")"),0)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IFERROR(__xludf.DUMMYFUNCTION("IMPORTRANGE(""https://docs.google.com/spreadsheets/d/1muirlRDkqiswvy_NRZ3Yh955hx-PF6_HhssUYiSJj8o/edit?usp=sharing"",""กองทุน!C70"")"),44)</f>
        <v>44</v>
      </c>
      <c r="J522" s="199">
        <f ca="1">IFERROR(__xludf.DUMMYFUNCTION("IMPORTRANGE(""https://docs.google.com/spreadsheets/d/1muirlRDkqiswvy_NRZ3Yh955hx-PF6_HhssUYiSJj8o/edit?usp=sharing"",""กองทุน!E70"")"),0)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IFERROR(__xludf.DUMMYFUNCTION("IMPORTRANGE(""https://docs.google.com/spreadsheets/d/1muirlRDkqiswvy_NRZ3Yh955hx-PF6_HhssUYiSJj8o/edit?usp=sharing"",""กองทุน!I70"")"),8858387.29999999)</f>
        <v>8858387.2999999896</v>
      </c>
      <c r="J523" s="199">
        <f ca="1">IFERROR(__xludf.DUMMYFUNCTION("IMPORTRANGE(""https://docs.google.com/spreadsheets/d/1muirlRDkqiswvy_NRZ3Yh955hx-PF6_HhssUYiSJj8o/edit?usp=sharing"",""กองทุน!K70"")"),178946.1)</f>
        <v>178946.1</v>
      </c>
      <c r="K523" s="200">
        <f t="shared" ca="1" si="116"/>
        <v>2.0200753697007605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IFERROR(__xludf.DUMMYFUNCTION("IMPORTRANGE(""https://docs.google.com/spreadsheets/d/1muirlRDkqiswvy_NRZ3Yh955hx-PF6_HhssUYiSJj8o/edit?usp=sharing"",""กองทุน!H70"")"),266)</f>
        <v>266</v>
      </c>
      <c r="J524" s="199">
        <f ca="1">IFERROR(__xludf.DUMMYFUNCTION("IMPORTRANGE(""https://docs.google.com/spreadsheets/d/1muirlRDkqiswvy_NRZ3Yh955hx-PF6_HhssUYiSJj8o/edit?usp=sharing"",""กองทุน!J70"")"),26)</f>
        <v>26</v>
      </c>
      <c r="K524" s="200">
        <f t="shared" ca="1" si="116"/>
        <v>9.7744360902255636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IFERROR(__xludf.DUMMYFUNCTION("IMPORTRANGE(""https://docs.google.com/spreadsheets/d/1muirlRDkqiswvy_NRZ3Yh955hx-PF6_HhssUYiSJj8o/edit?usp=sharing"",""กองทุน!N70"")"),1476352.17)</f>
        <v>1476352.17</v>
      </c>
      <c r="J525" s="199">
        <f ca="1">IFERROR(__xludf.DUMMYFUNCTION("IMPORTRANGE(""https://docs.google.com/spreadsheets/d/1muirlRDkqiswvy_NRZ3Yh955hx-PF6_HhssUYiSJj8o/edit?usp=sharing"",""กองทุน!P70"")"),3210.21)</f>
        <v>3210.21</v>
      </c>
      <c r="K525" s="200">
        <f t="shared" ca="1" si="116"/>
        <v>0.21744202130308787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IFERROR(__xludf.DUMMYFUNCTION("IMPORTRANGE(""https://docs.google.com/spreadsheets/d/1muirlRDkqiswvy_NRZ3Yh955hx-PF6_HhssUYiSJj8o/edit?usp=sharing"",""กองทุน!M70"")"),1469)</f>
        <v>1469</v>
      </c>
      <c r="J526" s="199">
        <f ca="1">IFERROR(__xludf.DUMMYFUNCTION("IMPORTRANGE(""https://docs.google.com/spreadsheets/d/1muirlRDkqiswvy_NRZ3Yh955hx-PF6_HhssUYiSJj8o/edit?usp=sharing"",""กองทุน!O70"")"),5)</f>
        <v>5</v>
      </c>
      <c r="K526" s="200">
        <f t="shared" ca="1" si="116"/>
        <v>0.34036759700476515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IFERROR(__xludf.DUMMYFUNCTION("IMPORTRANGE(""https://docs.google.com/spreadsheets/d/1muirlRDkqiswvy_NRZ3Yh955hx-PF6_HhssUYiSJj8o/edit?usp=sharing"",""กองทุน!S70"")"),3000000)</f>
        <v>3000000</v>
      </c>
      <c r="J527" s="199">
        <f ca="1">IFERROR(__xludf.DUMMYFUNCTION("IMPORTRANGE(""https://docs.google.com/spreadsheets/d/1muirlRDkqiswvy_NRZ3Yh955hx-PF6_HhssUYiSJj8o/edit?usp=sharing"",""กองทุน!U70"")"),0)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IFERROR(__xludf.DUMMYFUNCTION("IMPORTRANGE(""https://docs.google.com/spreadsheets/d/1muirlRDkqiswvy_NRZ3Yh955hx-PF6_HhssUYiSJj8o/edit?usp=sharing"",""กองทุน!R70"")"),100)</f>
        <v>100</v>
      </c>
      <c r="J528" s="324">
        <f ca="1">IFERROR(__xludf.DUMMYFUNCTION("IMPORTRANGE(""https://docs.google.com/spreadsheets/d/1muirlRDkqiswvy_NRZ3Yh955hx-PF6_HhssUYiSJj8o/edit?usp=sharing"",""กองทุน!T70"")"),0)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236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773005</v>
      </c>
      <c r="M6" s="16">
        <f t="shared" si="0"/>
        <v>20145</v>
      </c>
      <c r="N6" s="17">
        <f ca="1">IF(L6&gt;0,M6*100/L6,0)</f>
        <v>2.6060633501723793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IFERROR(__xludf.DUMMYFUNCTION("IMPORTRANGE(""https://docs.google.com/spreadsheets/d/1C3CXT74ZlgGe6_JY_1olB1XN4rF0dxEuIIF-xsYjHgg/edit?usp=sharing"",""พรบ!C71"")"),0)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IFERROR(__xludf.DUMMYFUNCTION("IMPORTRANGE(""https://docs.google.com/spreadsheets/d/1C3CXT74ZlgGe6_JY_1olB1XN4rF0dxEuIIF-xsYjHgg/edit?usp=sharing"",""พรบ!D71"")"),0)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IFERROR(__xludf.DUMMYFUNCTION("IMPORTRANGE(""https://docs.google.com/spreadsheets/d/1C3CXT74ZlgGe6_JY_1olB1XN4rF0dxEuIIF-xsYjHgg/edit?usp=sharing"",""พรบ!E71"")"),0)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IFERROR(__xludf.DUMMYFUNCTION("IMPORTRANGE(""https://docs.google.com/spreadsheets/d/1C3CXT74ZlgGe6_JY_1olB1XN4rF0dxEuIIF-xsYjHgg/edit?usp=sharing"",""พรบ!H71"")"),0)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IFERROR(__xludf.DUMMYFUNCTION("IMPORTRANGE(""https://docs.google.com/spreadsheets/d/1C3CXT74ZlgGe6_JY_1olB1XN4rF0dxEuIIF-xsYjHgg/edit?usp=sharing"",""พรบ!I71"")"),0)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IFERROR(__xludf.DUMMYFUNCTION("IMPORTRANGE(""https://docs.google.com/spreadsheets/d/1C3CXT74ZlgGe6_JY_1olB1XN4rF0dxEuIIF-xsYjHgg/edit?usp=sharing"",""พรบ!J71"")"),0)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IFERROR(__xludf.DUMMYFUNCTION("IMPORTRANGE(""https://docs.google.com/spreadsheets/d/1C3CXT74ZlgGe6_JY_1olB1XN4rF0dxEuIIF-xsYjHgg/edit?usp=sharing"",""พรบ!K71"")"),0)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IFERROR(__xludf.DUMMYFUNCTION("IMPORTRANGE(""https://docs.google.com/spreadsheets/d/1C3CXT74ZlgGe6_JY_1olB1XN4rF0dxEuIIF-xsYjHgg/edit?usp=sharing"",""พรบ!L71"")"),0)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IFERROR(__xludf.DUMMYFUNCTION("IMPORTRANGE(""https://docs.google.com/spreadsheets/d/1C3CXT74ZlgGe6_JY_1olB1XN4rF0dxEuIIF-xsYjHgg/edit?usp=sharing"",""พรบ!M71"")"),0)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IFERROR(__xludf.DUMMYFUNCTION("IMPORTRANGE(""https://docs.google.com/spreadsheets/d/1C3CXT74ZlgGe6_JY_1olB1XN4rF0dxEuIIF-xsYjHgg/edit?usp=sharing"",""พรบ!N71"")"),0)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IFERROR(__xludf.DUMMYFUNCTION("IMPORTRANGE(""https://docs.google.com/spreadsheets/d/1C3CXT74ZlgGe6_JY_1olB1XN4rF0dxEuIIF-xsYjHgg/edit?usp=sharing"",""พรบ!O71"")"),0)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IFERROR(__xludf.DUMMYFUNCTION("IMPORTRANGE(""https://docs.google.com/spreadsheets/d/1C3CXT74ZlgGe6_JY_1olB1XN4rF0dxEuIIF-xsYjHgg/edit?usp=sharing"",""พรบ!P71"")"),0)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IFERROR(__xludf.DUMMYFUNCTION("IMPORTRANGE(""https://docs.google.com/spreadsheets/d/1C3CXT74ZlgGe6_JY_1olB1XN4rF0dxEuIIF-xsYjHgg/edit?usp=sharing"",""พรบ!Q71"")"),0)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IFERROR(__xludf.DUMMYFUNCTION("IMPORTRANGE(""https://docs.google.com/spreadsheets/d/1C3CXT74ZlgGe6_JY_1olB1XN4rF0dxEuIIF-xsYjHgg/edit?usp=sharing"",""พรบ!R71"")"),0)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IFERROR(__xludf.DUMMYFUNCTION("IMPORTRANGE(""https://docs.google.com/spreadsheets/d/1C3CXT74ZlgGe6_JY_1olB1XN4rF0dxEuIIF-xsYjHgg/edit?usp=sharing"",""พรบ!S71"")"),0)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IFERROR(__xludf.DUMMYFUNCTION("IMPORTRANGE(""https://docs.google.com/spreadsheets/d/1C3CXT74ZlgGe6_JY_1olB1XN4rF0dxEuIIF-xsYjHgg/edit?usp=sharing"",""พรบ!T71"")"),0)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IFERROR(__xludf.DUMMYFUNCTION("IMPORTRANGE(""https://docs.google.com/spreadsheets/d/1C3CXT74ZlgGe6_JY_1olB1XN4rF0dxEuIIF-xsYjHgg/edit?usp=sharing"",""พรบ!U71"")"),0)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IFERROR(__xludf.DUMMYFUNCTION("IMPORTRANGE(""https://docs.google.com/spreadsheets/d/1C3CXT74ZlgGe6_JY_1olB1XN4rF0dxEuIIF-xsYjHgg/edit?usp=sharing"",""พรบ!V71"")"),0)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IFERROR(__xludf.DUMMYFUNCTION("IMPORTRANGE(""https://docs.google.com/spreadsheets/d/1C3CXT74ZlgGe6_JY_1olB1XN4rF0dxEuIIF-xsYjHgg/edit?usp=sharing"",""พรบ!W71"")"),0)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IFERROR(__xludf.DUMMYFUNCTION("IMPORTRANGE(""https://docs.google.com/spreadsheets/d/1C3CXT74ZlgGe6_JY_1olB1XN4rF0dxEuIIF-xsYjHgg/edit?usp=sharing"",""พรบ!Y71"")"),0)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IFERROR(__xludf.DUMMYFUNCTION("IMPORTRANGE(""https://docs.google.com/spreadsheets/d/1C3CXT74ZlgGe6_JY_1olB1XN4rF0dxEuIIF-xsYjHgg/edit?usp=sharing"",""พรบ!Z71"")"),0)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IFERROR(__xludf.DUMMYFUNCTION("IMPORTRANGE(""https://docs.google.com/spreadsheets/d/1C3CXT74ZlgGe6_JY_1olB1XN4rF0dxEuIIF-xsYjHgg/edit?usp=sharing"",""พรบ!AA71"")"),0)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50000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50000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IFERROR(__xludf.DUMMYFUNCTION("IMPORTRANGE(""https://docs.google.com/spreadsheets/d/1C3CXT74ZlgGe6_JY_1olB1XN4rF0dxEuIIF-xsYjHgg/edit?usp=sharing"",""พรบ!AD71"")"),0)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50000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IFERROR(__xludf.DUMMYFUNCTION("IMPORTRANGE(""https://docs.google.com/spreadsheets/d/1C3CXT74ZlgGe6_JY_1olB1XN4rF0dxEuIIF-xsYjHgg/edit?usp=sharing"",""พรบ!AF71"")"),7500)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IFERROR(__xludf.DUMMYFUNCTION("IMPORTRANGE(""https://docs.google.com/spreadsheets/d/1C3CXT74ZlgGe6_JY_1olB1XN4rF0dxEuIIF-xsYjHgg/edit?usp=sharing"",""พรบ!AG71"")"),4)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2</v>
      </c>
      <c r="J89" s="149">
        <f t="shared" si="21"/>
        <v>0</v>
      </c>
      <c r="K89" s="150">
        <f ca="1">IF(I89&gt;0,J89*100/I89,0)</f>
        <v>0</v>
      </c>
      <c r="L89" s="147">
        <f ca="1">L90+L91</f>
        <v>28000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IFERROR(__xludf.DUMMYFUNCTION("IMPORTRANGE(""https://docs.google.com/spreadsheets/d/1C3CXT74ZlgGe6_JY_1olB1XN4rF0dxEuIIF-xsYjHgg/edit?usp=sharing"",""พรบ!AH71"")"),28000)</f>
        <v>28000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IFERROR(__xludf.DUMMYFUNCTION("IMPORTRANGE(""https://docs.google.com/spreadsheets/d/1C3CXT74ZlgGe6_JY_1olB1XN4rF0dxEuIIF-xsYjHgg/edit?usp=sharing"",""พรบ!AI71"")"),2)</f>
        <v>2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IFERROR(__xludf.DUMMYFUNCTION("IMPORTRANGE(""https://docs.google.com/spreadsheets/d/1C3CXT74ZlgGe6_JY_1olB1XN4rF0dxEuIIF-xsYjHgg/edit?usp=sharing"",""กปร!C71"")"),24000)</f>
        <v>24000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IFERROR(__xludf.DUMMYFUNCTION("IMPORTRANGE(""https://docs.google.com/spreadsheets/d/1C3CXT74ZlgGe6_JY_1olB1XN4rF0dxEuIIF-xsYjHgg/edit?usp=sharing"",""พรบ!AJ71"")"),0)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IFERROR(__xludf.DUMMYFUNCTION("IMPORTRANGE(""https://docs.google.com/spreadsheets/d/1C3CXT74ZlgGe6_JY_1olB1XN4rF0dxEuIIF-xsYjHgg/edit?usp=sharing"",""พรบ!AK71"")"),0)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IFERROR(__xludf.DUMMYFUNCTION("IMPORTRANGE(""https://docs.google.com/spreadsheets/d/1C3CXT74ZlgGe6_JY_1olB1XN4rF0dxEuIIF-xsYjHgg/edit?usp=sharing"",""กปร!D71"")"),0)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IFERROR(__xludf.DUMMYFUNCTION("IMPORTRANGE(""https://docs.google.com/spreadsheets/d/1C3CXT74ZlgGe6_JY_1olB1XN4rF0dxEuIIF-xsYjHgg/edit?usp=sharing"",""พรบ!AL71"")"),0)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IFERROR(__xludf.DUMMYFUNCTION("IMPORTRANGE(""https://docs.google.com/spreadsheets/d/1C3CXT74ZlgGe6_JY_1olB1XN4rF0dxEuIIF-xsYjHgg/edit?usp=sharing"",""กปร!E71"")"),0)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30000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14500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14500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IFERROR(__xludf.DUMMYFUNCTION("IMPORTRANGE(""https://docs.google.com/spreadsheets/d/1C3CXT74ZlgGe6_JY_1olB1XN4rF0dxEuIIF-xsYjHgg/edit?usp=sharing"",""พรบ!AM71"")"),14500)</f>
        <v>14500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IFERROR(__xludf.DUMMYFUNCTION("IMPORTRANGE(""https://docs.google.com/spreadsheets/d/1C3CXT74ZlgGe6_JY_1olB1XN4rF0dxEuIIF-xsYjHgg/edit?usp=sharing"",""พรบ!AO71"")"),30000)</f>
        <v>30000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IFERROR(__xludf.DUMMYFUNCTION("IMPORTRANGE(""https://docs.google.com/spreadsheets/d/1C3CXT74ZlgGe6_JY_1olB1XN4rF0dxEuIIF-xsYjHgg/edit?usp=sharing"",""พรบ!AP71"")"),30000)</f>
        <v>30000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IFERROR(__xludf.DUMMYFUNCTION("IMPORTRANGE(""https://docs.google.com/spreadsheets/d/1C3CXT74ZlgGe6_JY_1olB1XN4rF0dxEuIIF-xsYjHgg/edit?usp=sharing"",""กปร!F71"")"),8500)</f>
        <v>8500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IFERROR(__xludf.DUMMYFUNCTION("IMPORTRANGE(""https://docs.google.com/spreadsheets/d/1C3CXT74ZlgGe6_JY_1olB1XN4rF0dxEuIIF-xsYjHgg/edit?usp=sharing"",""พรบ!AQ71"")"),0)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IFERROR(__xludf.DUMMYFUNCTION("IMPORTRANGE(""https://docs.google.com/spreadsheets/d/1C3CXT74ZlgGe6_JY_1olB1XN4rF0dxEuIIF-xsYjHgg/edit?usp=sharing"",""กปร!G71"")"),0)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IFERROR(__xludf.DUMMYFUNCTION("IMPORTRANGE(""https://docs.google.com/spreadsheets/d/1C3CXT74ZlgGe6_JY_1olB1XN4rF0dxEuIIF-xsYjHgg/edit?usp=sharing"",""พรบ!AR71"")"),0)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IFERROR(__xludf.DUMMYFUNCTION("IMPORTRANGE(""https://docs.google.com/spreadsheets/d/1C3CXT74ZlgGe6_JY_1olB1XN4rF0dxEuIIF-xsYjHgg/edit?usp=sharing"",""พรบ!AS71"")"),0)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IFERROR(__xludf.DUMMYFUNCTION("IMPORTRANGE(""https://docs.google.com/spreadsheets/d/1C3CXT74ZlgGe6_JY_1olB1XN4rF0dxEuIIF-xsYjHgg/edit?usp=sharing"",""กปร!H71"")"),0)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IFERROR(__xludf.DUMMYFUNCTION("IMPORTRANGE(""https://docs.google.com/spreadsheets/d/1C3CXT74ZlgGe6_JY_1olB1XN4rF0dxEuIIF-xsYjHgg/edit?usp=sharing"",""พรบ!AT71"")"),0)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IFERROR(__xludf.DUMMYFUNCTION("IMPORTRANGE(""https://docs.google.com/spreadsheets/d/1C3CXT74ZlgGe6_JY_1olB1XN4rF0dxEuIIF-xsYjHgg/edit?usp=sharing"",""กปร!I71"")"),0)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IFERROR(__xludf.DUMMYFUNCTION("IMPORTRANGE(""https://docs.google.com/spreadsheets/d/1C3CXT74ZlgGe6_JY_1olB1XN4rF0dxEuIIF-xsYjHgg/edit?usp=sharing"",""พรบ!AU71"")"),0)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IFERROR(__xludf.DUMMYFUNCTION("IMPORTRANGE(""https://docs.google.com/spreadsheets/d/1C3CXT74ZlgGe6_JY_1olB1XN4rF0dxEuIIF-xsYjHgg/edit?usp=sharing"",""กปร!J71"")"),0)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15</v>
      </c>
      <c r="K144" s="137">
        <f ca="1">IF(I144&gt;0,J144*100/I144,0)</f>
        <v>100</v>
      </c>
      <c r="L144" s="138">
        <f ca="1">L145+L146</f>
        <v>21125</v>
      </c>
      <c r="M144" s="138">
        <f>SUM(M145:M146)</f>
        <v>20145</v>
      </c>
      <c r="N144" s="137">
        <f ca="1">IF(L144&gt;0,M144*100/L144,0)</f>
        <v>95.360946745562131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20145</v>
      </c>
      <c r="N146" s="49">
        <f t="shared" ca="1" si="37"/>
        <v>95.360946745562131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IFERROR(__xludf.DUMMYFUNCTION("IMPORTRANGE(""https://docs.google.com/spreadsheets/d/1C3CXT74ZlgGe6_JY_1olB1XN4rF0dxEuIIF-xsYjHgg/edit?usp=sharing"",""พรบ!AY71"")"),21125)</f>
        <v>21125</v>
      </c>
      <c r="M148" s="53">
        <v>20145</v>
      </c>
      <c r="N148" s="52">
        <f t="shared" ca="1" si="37"/>
        <v>95.360946745562131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15</v>
      </c>
      <c r="K149" s="137">
        <f ca="1">IF(I149&gt;0,J149*100/I149,0)</f>
        <v>100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IFERROR(__xludf.DUMMYFUNCTION("IMPORTRANGE(""https://docs.google.com/spreadsheets/d/1C3CXT74ZlgGe6_JY_1olB1XN4rF0dxEuIIF-xsYjHgg/edit?usp=sharing"",""พรบ!BA71"")"),15)</f>
        <v>15</v>
      </c>
      <c r="J155" s="67">
        <v>15</v>
      </c>
      <c r="K155" s="48">
        <f ca="1">IF(I155&gt;0,J155*100/I155,0)</f>
        <v>100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/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66"/>
      <c r="K171" s="232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IFERROR(__xludf.DUMMYFUNCTION("IMPORTRANGE(""https://docs.google.com/spreadsheets/d/1C3CXT74ZlgGe6_JY_1olB1XN4rF0dxEuIIF-xsYjHgg/edit?usp=sharing"",""พรบ!BD71"")"),0)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IFERROR(__xludf.DUMMYFUNCTION("IMPORTRANGE(""https://docs.google.com/spreadsheets/d/1C3CXT74ZlgGe6_JY_1olB1XN4rF0dxEuIIF-xsYjHgg/edit?usp=sharing"",""พรบ!BE71"")"),0)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IFERROR(__xludf.DUMMYFUNCTION("IMPORTRANGE(""https://docs.google.com/spreadsheets/d/1C3CXT74ZlgGe6_JY_1olB1XN4rF0dxEuIIF-xsYjHgg/edit?usp=sharing"",""พรบ!BF71"")"),0)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IFERROR(__xludf.DUMMYFUNCTION("IMPORTRANGE(""https://docs.google.com/spreadsheets/d/1C3CXT74ZlgGe6_JY_1olB1XN4rF0dxEuIIF-xsYjHgg/edit?usp=sharing"",""พรบ!BG71"")"),0)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IFERROR(__xludf.DUMMYFUNCTION("IMPORTRANGE(""https://docs.google.com/spreadsheets/d/1C3CXT74ZlgGe6_JY_1olB1XN4rF0dxEuIIF-xsYjHgg/edit?usp=sharing"",""พรบ!BH71"")"),0)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IFERROR(__xludf.DUMMYFUNCTION("IMPORTRANGE(""https://docs.google.com/spreadsheets/d/1C3CXT74ZlgGe6_JY_1olB1XN4rF0dxEuIIF-xsYjHgg/edit?usp=sharing"",""พรบ!BI71"")"),0)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IFERROR(__xludf.DUMMYFUNCTION("IMPORTRANGE(""https://docs.google.com/spreadsheets/d/1C3CXT74ZlgGe6_JY_1olB1XN4rF0dxEuIIF-xsYjHgg/edit?usp=sharing"",""พรบ!BK71"")"),0)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IFERROR(__xludf.DUMMYFUNCTION("IMPORTRANGE(""https://docs.google.com/spreadsheets/d/1C3CXT74ZlgGe6_JY_1olB1XN4rF0dxEuIIF-xsYjHgg/edit?usp=sharing"",""พรบ!BL71"")"),0)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IFERROR(__xludf.DUMMYFUNCTION("IMPORTRANGE(""https://docs.google.com/spreadsheets/d/1C3CXT74ZlgGe6_JY_1olB1XN4rF0dxEuIIF-xsYjHgg/edit?usp=sharing"",""พรบ!BM71"")"),0)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IFERROR(__xludf.DUMMYFUNCTION("IMPORTRANGE(""https://docs.google.com/spreadsheets/d/1C3CXT74ZlgGe6_JY_1olB1XN4rF0dxEuIIF-xsYjHgg/edit?usp=sharing"",""พรบ!BP71"")"),0)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IFERROR(__xludf.DUMMYFUNCTION("IMPORTRANGE(""https://docs.google.com/spreadsheets/d/1C3CXT74ZlgGe6_JY_1olB1XN4rF0dxEuIIF-xsYjHgg/edit?usp=sharing"",""พรบ!BQ71"")"),0)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IFERROR(__xludf.DUMMYFUNCTION("IMPORTRANGE(""https://docs.google.com/spreadsheets/d/1C3CXT74ZlgGe6_JY_1olB1XN4rF0dxEuIIF-xsYjHgg/edit?usp=sharing"",""พรบ!BR71"")"),0)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IFERROR(__xludf.DUMMYFUNCTION("IMPORTRANGE(""https://docs.google.com/spreadsheets/d/1C3CXT74ZlgGe6_JY_1olB1XN4rF0dxEuIIF-xsYjHgg/edit?usp=sharing"",""พรบ!BU71"")"),0)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IFERROR(__xludf.DUMMYFUNCTION("IMPORTRANGE(""https://docs.google.com/spreadsheets/d/1C3CXT74ZlgGe6_JY_1olB1XN4rF0dxEuIIF-xsYjHgg/edit?usp=sharing"",""พรบ!BV71"")"),0)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33</v>
      </c>
      <c r="J228" s="197">
        <f ca="1">J240</f>
        <v>1</v>
      </c>
      <c r="K228" s="178">
        <f ca="1">IF(I228&gt;0,J228*100/I228,0)</f>
        <v>3.0303030303030303</v>
      </c>
      <c r="L228" s="179">
        <f ca="1">L229+L230</f>
        <v>701880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701880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IFERROR(__xludf.DUMMYFUNCTION("IMPORTRANGE(""https://docs.google.com/spreadsheets/d/1C3CXT74ZlgGe6_JY_1olB1XN4rF0dxEuIIF-xsYjHgg/edit?usp=sharing"",""พรบ!BX71"")"),493800)</f>
        <v>493800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IFERROR(__xludf.DUMMYFUNCTION("IMPORTRANGE(""https://docs.google.com/spreadsheets/d/1C3CXT74ZlgGe6_JY_1olB1XN4rF0dxEuIIF-xsYjHgg/edit?usp=sharing"",""พรบ!BY71"")"),208080)</f>
        <v>208080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IFERROR(__xludf.DUMMYFUNCTION("IMPORTRANGE(""https://docs.google.com/spreadsheets/d/1AGHcLOeeYFL3K4b9R1dSzyJy00PE_ra89DNTVfnxSWM/edit?usp=sharing"",""รวมที่ทำกิน!J60"")"),0)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IFERROR(__xludf.DUMMYFUNCTION("IMPORTRANGE(""https://docs.google.com/spreadsheets/d/1C3CXT74ZlgGe6_JY_1olB1XN4rF0dxEuIIF-xsYjHgg/edit?usp=sharing"",""พรบ!BZ71"")"),180)</f>
        <v>180</v>
      </c>
      <c r="J235" s="66">
        <f ca="1">IFERROR(__xludf.DUMMYFUNCTION("IMPORTRANGE(""https://docs.google.com/spreadsheets/d/1AGHcLOeeYFL3K4b9R1dSzyJy00PE_ra89DNTVfnxSWM/edit?usp=sharing"",""รวมที่ทำกิน!L60"")"),0)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IFERROR(__xludf.DUMMYFUNCTION("IMPORTRANGE(""https://docs.google.com/spreadsheets/d/1C3CXT74ZlgGe6_JY_1olB1XN4rF0dxEuIIF-xsYjHgg/edit?usp=sharing"",""พรบ!CA71"")"),33)</f>
        <v>33</v>
      </c>
      <c r="J236" s="66">
        <f ca="1">IFERROR(__xludf.DUMMYFUNCTION("IMPORTRANGE(""https://docs.google.com/spreadsheets/d/1AGHcLOeeYFL3K4b9R1dSzyJy00PE_ra89DNTVfnxSWM/edit?usp=sharing"",""รวมที่ทำกิน!O60"")"),1)</f>
        <v>1</v>
      </c>
      <c r="K236" s="200">
        <f t="shared" ca="1" si="52"/>
        <v>3.0303030303030303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IFERROR(__xludf.DUMMYFUNCTION("IMPORTRANGE(""https://docs.google.com/spreadsheets/d/1AGHcLOeeYFL3K4b9R1dSzyJy00PE_ra89DNTVfnxSWM/edit?usp=sharing"",""รวมที่ทำกิน!Q60"")"),6.71)</f>
        <v>6.71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IFERROR(__xludf.DUMMYFUNCTION("IMPORTRANGE(""https://docs.google.com/spreadsheets/d/1C3CXT74ZlgGe6_JY_1olB1XN4rF0dxEuIIF-xsYjHgg/edit?usp=sharing"",""พรบ!CB71"")"),33)</f>
        <v>33</v>
      </c>
      <c r="J238" s="66">
        <f ca="1">IFERROR(__xludf.DUMMYFUNCTION("IMPORTRANGE(""https://docs.google.com/spreadsheets/d/1AGHcLOeeYFL3K4b9R1dSzyJy00PE_ra89DNTVfnxSWM/edit?usp=sharing"",""รวมที่ทำกิน!S60"")"),0)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IFERROR(__xludf.DUMMYFUNCTION("IMPORTRANGE(""https://docs.google.com/spreadsheets/d/1AGHcLOeeYFL3K4b9R1dSzyJy00PE_ra89DNTVfnxSWM/edit?usp=sharing"",""รวมที่ทำกิน!U60"")"),0)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IFERROR(__xludf.DUMMYFUNCTION("IMPORTRANGE(""https://docs.google.com/spreadsheets/d/1C3CXT74ZlgGe6_JY_1olB1XN4rF0dxEuIIF-xsYjHgg/edit?usp=sharing"",""พรบ!CC71"")"),33)</f>
        <v>33</v>
      </c>
      <c r="J240" s="66">
        <f ca="1">IFERROR(__xludf.DUMMYFUNCTION("IMPORTRANGE(""https://docs.google.com/spreadsheets/d/1AGHcLOeeYFL3K4b9R1dSzyJy00PE_ra89DNTVfnxSWM/edit?usp=sharing"",""รวมที่ทำกิน!W60"")"),1)</f>
        <v>1</v>
      </c>
      <c r="K240" s="200">
        <f t="shared" ca="1" si="52"/>
        <v>3.0303030303030303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IFERROR(__xludf.DUMMYFUNCTION("IMPORTRANGE(""https://docs.google.com/spreadsheets/d/1AGHcLOeeYFL3K4b9R1dSzyJy00PE_ra89DNTVfnxSWM/edit?usp=sharing"",""รวมที่ทำกิน!Y60"")"),6.71)</f>
        <v>6.71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832597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IFERROR(__xludf.DUMMYFUNCTION("IMPORTRANGE(""https://docs.google.com/spreadsheets/d/1C3CXT74ZlgGe6_JY_1olB1XN4rF0dxEuIIF-xsYjHgg/edit?usp=sharing"",""งบกองทุน!d71"")"),0)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IFERROR(__xludf.DUMMYFUNCTION("IMPORTRANGE(""https://docs.google.com/spreadsheets/d/1C3CXT74ZlgGe6_JY_1olB1XN4rF0dxEuIIF-xsYjHgg/edit?usp=sharing"",""งบกองทุน!e71"")"),0)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IFERROR(__xludf.DUMMYFUNCTION("IMPORTRANGE(""https://docs.google.com/spreadsheets/d/1C3CXT74ZlgGe6_JY_1olB1XN4rF0dxEuIIF-xsYjHgg/edit?usp=sharing"",""งบกองทุน!f71"")"),0)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232">
        <f t="shared" ref="K262:K268" ca="1" si="60">IF(I262&gt;0,J262*100/I262,0)</f>
        <v>0</v>
      </c>
      <c r="L262" s="52"/>
      <c r="M262" s="52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IFERROR(__xludf.DUMMYFUNCTION("IMPORTRANGE(""https://docs.google.com/spreadsheets/d/1C3CXT74ZlgGe6_JY_1olB1XN4rF0dxEuIIF-xsYjHgg/edit?usp=sharing"",""งบกองทุน!H71"")"),0)</f>
        <v>0</v>
      </c>
      <c r="J263" s="66">
        <f>J267</f>
        <v>0</v>
      </c>
      <c r="K263" s="232">
        <f t="shared" ca="1" si="60"/>
        <v>0</v>
      </c>
      <c r="L263" s="52"/>
      <c r="M263" s="52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IFERROR(__xludf.DUMMYFUNCTION("IMPORTRANGE(""https://docs.google.com/spreadsheets/d/1C3CXT74ZlgGe6_JY_1olB1XN4rF0dxEuIIF-xsYjHgg/edit?usp=sharing"",""งบกองทุน!i71"")"),0)</f>
        <v>0</v>
      </c>
      <c r="J264" s="66">
        <v>0</v>
      </c>
      <c r="K264" s="232">
        <f t="shared" ca="1" si="60"/>
        <v>0</v>
      </c>
      <c r="L264" s="52"/>
      <c r="M264" s="52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232">
        <f t="shared" ca="1" si="60"/>
        <v>0</v>
      </c>
      <c r="L265" s="52"/>
      <c r="M265" s="52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IFERROR(__xludf.DUMMYFUNCTION("IMPORTRANGE(""https://docs.google.com/spreadsheets/d/1C3CXT74ZlgGe6_JY_1olB1XN4rF0dxEuIIF-xsYjHgg/edit?usp=sharing"",""งบกองทุน!k71"")"),0)</f>
        <v>0</v>
      </c>
      <c r="J266" s="66">
        <v>0</v>
      </c>
      <c r="K266" s="232">
        <f t="shared" ca="1" si="60"/>
        <v>0</v>
      </c>
      <c r="L266" s="52"/>
      <c r="M266" s="52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232">
        <f t="shared" ca="1" si="60"/>
        <v>0</v>
      </c>
      <c r="L267" s="52"/>
      <c r="M267" s="52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IFERROR(__xludf.DUMMYFUNCTION("IMPORTRANGE(""https://docs.google.com/spreadsheets/d/1C3CXT74ZlgGe6_JY_1olB1XN4rF0dxEuIIF-xsYjHgg/edit?usp=sharing"",""งบกองทุน!m71"")"),0)</f>
        <v>0</v>
      </c>
      <c r="J268" s="66">
        <v>0</v>
      </c>
      <c r="K268" s="232">
        <f t="shared" ca="1" si="60"/>
        <v>0</v>
      </c>
      <c r="L268" s="52"/>
      <c r="M268" s="52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232"/>
      <c r="L269" s="52"/>
      <c r="M269" s="52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232">
        <f t="shared" ref="K270:K272" ca="1" si="62">IF(I270&gt;0,J270*100/I270,0)</f>
        <v>0</v>
      </c>
      <c r="L270" s="52"/>
      <c r="M270" s="52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IFERROR(__xludf.DUMMYFUNCTION("IMPORTRANGE(""https://docs.google.com/spreadsheets/d/1C3CXT74ZlgGe6_JY_1olB1XN4rF0dxEuIIF-xsYjHgg/edit?usp=sharing"",""งบกองทุน!o71"")"),0)</f>
        <v>0</v>
      </c>
      <c r="J271" s="66">
        <v>0</v>
      </c>
      <c r="K271" s="232">
        <f t="shared" ca="1" si="62"/>
        <v>0</v>
      </c>
      <c r="L271" s="52"/>
      <c r="M271" s="52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IFERROR(__xludf.DUMMYFUNCTION("IMPORTRANGE(""https://docs.google.com/spreadsheets/d/1C3CXT74ZlgGe6_JY_1olB1XN4rF0dxEuIIF-xsYjHgg/edit?usp=sharing"",""งบกองทุน!p71"")"),0)</f>
        <v>0</v>
      </c>
      <c r="J272" s="66">
        <v>0</v>
      </c>
      <c r="K272" s="232">
        <f t="shared" ca="1" si="62"/>
        <v>0</v>
      </c>
      <c r="L272" s="52"/>
      <c r="M272" s="52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232"/>
      <c r="L273" s="52"/>
      <c r="M273" s="52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232"/>
      <c r="L274" s="52"/>
      <c r="M274" s="52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207560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207560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IFERROR(__xludf.DUMMYFUNCTION("IMPORTRANGE(""https://docs.google.com/spreadsheets/d/1C3CXT74ZlgGe6_JY_1olB1XN4rF0dxEuIIF-xsYjHgg/edit?usp=sharing"",""งบกองทุน!r71"")"),0)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IFERROR(__xludf.DUMMYFUNCTION("IMPORTRANGE(""https://docs.google.com/spreadsheets/d/1C3CXT74ZlgGe6_JY_1olB1XN4rF0dxEuIIF-xsYjHgg/edit?usp=sharing"",""งบกองทุน!s71"")"),207560)</f>
        <v>207560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IFERROR(__xludf.DUMMYFUNCTION("IMPORTRANGE(""https://docs.google.com/spreadsheets/d/1C3CXT74ZlgGe6_JY_1olB1XN4rF0dxEuIIF-xsYjHgg/edit?usp=sharing"",""งบกองทุน!v71"")"),20)</f>
        <v>20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IFERROR(__xludf.DUMMYFUNCTION("IMPORTRANGE(""https://docs.google.com/spreadsheets/d/1C3CXT74ZlgGe6_JY_1olB1XN4rF0dxEuIIF-xsYjHgg/edit?usp=sharing"",""งบกองทุน!w71"")"),200)</f>
        <v>200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IFERROR(__xludf.DUMMYFUNCTION("IMPORTRANGE(""https://docs.google.com/spreadsheets/d/1C3CXT74ZlgGe6_JY_1olB1XN4rF0dxEuIIF-xsYjHgg/edit?usp=sharing"",""งบกองทุน!x71"")"),20)</f>
        <v>20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180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207000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207000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IFERROR(__xludf.DUMMYFUNCTION("IMPORTRANGE(""https://docs.google.com/spreadsheets/d/1C3CXT74ZlgGe6_JY_1olB1XN4rF0dxEuIIF-xsYjHgg/edit?usp=sharing"",""งบกองทุน!z71"")"),0)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IFERROR(__xludf.DUMMYFUNCTION("IMPORTRANGE(""https://docs.google.com/spreadsheets/d/1C3CXT74ZlgGe6_JY_1olB1XN4rF0dxEuIIF-xsYjHgg/edit?usp=sharing"",""งบกองทุน!aa71"")"),207000)</f>
        <v>207000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60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IFERROR(__xludf.DUMMYFUNCTION("IMPORTRANGE(""https://docs.google.com/spreadsheets/d/1C3CXT74ZlgGe6_JY_1olB1XN4rF0dxEuIIF-xsYjHgg/edit?usp=sharing"",""งบกองทุน!ae71"")"),25)</f>
        <v>25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IFERROR(__xludf.DUMMYFUNCTION("IMPORTRANGE(""https://docs.google.com/spreadsheets/d/1C3CXT74ZlgGe6_JY_1olB1XN4rF0dxEuIIF-xsYjHgg/edit?usp=sharing"",""งบกองทุน!ad71"")"),75)</f>
        <v>75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IFERROR(__xludf.DUMMYFUNCTION("IMPORTRANGE(""https://docs.google.com/spreadsheets/d/1C3CXT74ZlgGe6_JY_1olB1XN4rF0dxEuIIF-xsYjHgg/edit?usp=sharing"",""งบกองทุน!af71"")"),25)</f>
        <v>25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IFERROR(__xludf.DUMMYFUNCTION("IMPORTRANGE(""https://docs.google.com/spreadsheets/d/1C3CXT74ZlgGe6_JY_1olB1XN4rF0dxEuIIF-xsYjHgg/edit?usp=sharing"",""งบกองทุน!ag71"")"),25)</f>
        <v>25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IFERROR(__xludf.DUMMYFUNCTION("IMPORTRANGE(""https://docs.google.com/spreadsheets/d/1C3CXT74ZlgGe6_JY_1olB1XN4rF0dxEuIIF-xsYjHgg/edit?usp=sharing"",""งบกองทุน!ai71"")"),24)</f>
        <v>24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IFERROR(__xludf.DUMMYFUNCTION("IMPORTRANGE(""https://docs.google.com/spreadsheets/d/1C3CXT74ZlgGe6_JY_1olB1XN4rF0dxEuIIF-xsYjHgg/edit?usp=sharing"",""งบกองทุน!ah71"")"),72)</f>
        <v>72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IFERROR(__xludf.DUMMYFUNCTION("IMPORTRANGE(""https://docs.google.com/spreadsheets/d/1C3CXT74ZlgGe6_JY_1olB1XN4rF0dxEuIIF-xsYjHgg/edit?usp=sharing"",""งบกองทุน!aj71"")"),24)</f>
        <v>24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IFERROR(__xludf.DUMMYFUNCTION("IMPORTRANGE(""https://docs.google.com/spreadsheets/d/1C3CXT74ZlgGe6_JY_1olB1XN4rF0dxEuIIF-xsYjHgg/edit?usp=sharing"",""งบกองทุน!ak71"")"),24)</f>
        <v>24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IFERROR(__xludf.DUMMYFUNCTION("IMPORTRANGE(""https://docs.google.com/spreadsheets/d/1C3CXT74ZlgGe6_JY_1olB1XN4rF0dxEuIIF-xsYjHgg/edit?usp=sharing"",""งบกองทุน!al71"")"),24)</f>
        <v>24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IFERROR(__xludf.DUMMYFUNCTION("IMPORTRANGE(""https://docs.google.com/spreadsheets/d/1C3CXT74ZlgGe6_JY_1olB1XN4rF0dxEuIIF-xsYjHgg/edit?usp=sharing"",""งบกองทุน!an71"")"),11)</f>
        <v>11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IFERROR(__xludf.DUMMYFUNCTION("IMPORTRANGE(""https://docs.google.com/spreadsheets/d/1C3CXT74ZlgGe6_JY_1olB1XN4rF0dxEuIIF-xsYjHgg/edit?usp=sharing"",""งบกองทุน!am71"")"),33)</f>
        <v>33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IFERROR(__xludf.DUMMYFUNCTION("IMPORTRANGE(""https://docs.google.com/spreadsheets/d/1C3CXT74ZlgGe6_JY_1olB1XN4rF0dxEuIIF-xsYjHgg/edit?usp=sharing"",""งบกองทุน!ao71"")"),11)</f>
        <v>11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IFERROR(__xludf.DUMMYFUNCTION("IMPORTRANGE(""https://docs.google.com/spreadsheets/d/1C3CXT74ZlgGe6_JY_1olB1XN4rF0dxEuIIF-xsYjHgg/edit?usp=sharing"",""งบกองทุน!ap71"")"),11)</f>
        <v>11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49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IFERROR(__xludf.DUMMYFUNCTION("IMPORTRANGE(""https://docs.google.com/spreadsheets/d/1C3CXT74ZlgGe6_JY_1olB1XN4rF0dxEuIIF-xsYjHgg/edit?usp=sharing"",""งบกองทุน!ar71"")"),25)</f>
        <v>25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IFERROR(__xludf.DUMMYFUNCTION("IMPORTRANGE(""https://docs.google.com/spreadsheets/d/1C3CXT74ZlgGe6_JY_1olB1XN4rF0dxEuIIF-xsYjHgg/edit?usp=sharing"",""งบกองทุน!as71"")"),24)</f>
        <v>24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50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161400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161400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IFERROR(__xludf.DUMMYFUNCTION("IMPORTRANGE(""https://docs.google.com/spreadsheets/d/1C3CXT74ZlgGe6_JY_1olB1XN4rF0dxEuIIF-xsYjHgg/edit?usp=sharing"",""งบกองทุน!au71"")"),0)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IFERROR(__xludf.DUMMYFUNCTION("IMPORTRANGE(""https://docs.google.com/spreadsheets/d/1C3CXT74ZlgGe6_JY_1olB1XN4rF0dxEuIIF-xsYjHgg/edit?usp=sharing"",""งบกองทุน!av71"")"),161400)</f>
        <v>161400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50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IFERROR(__xludf.DUMMYFUNCTION("IMPORTRANGE(""https://docs.google.com/spreadsheets/d/1C3CXT74ZlgGe6_JY_1olB1XN4rF0dxEuIIF-xsYjHgg/edit?usp=sharing"",""งบกองทุน!ay71"")"),50)</f>
        <v>50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IFERROR(__xludf.DUMMYFUNCTION("IMPORTRANGE(""https://docs.google.com/spreadsheets/d/1C3CXT74ZlgGe6_JY_1olB1XN4rF0dxEuIIF-xsYjHgg/edit?usp=sharing"",""งบกองทุน!az71"")"),0)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IFERROR(__xludf.DUMMYFUNCTION("IMPORTRANGE(""https://docs.google.com/spreadsheets/d/1C3CXT74ZlgGe6_JY_1olB1XN4rF0dxEuIIF-xsYjHgg/edit?usp=sharing"",""งบกองทุน!Ba71"")"),0)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2218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95347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95347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IFERROR(__xludf.DUMMYFUNCTION("IMPORTRANGE(""https://docs.google.com/spreadsheets/d/1C3CXT74ZlgGe6_JY_1olB1XN4rF0dxEuIIF-xsYjHgg/edit?usp=sharing"",""งบกองทุน!Bc71"")"),0)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IFERROR(__xludf.DUMMYFUNCTION("IMPORTRANGE(""https://docs.google.com/spreadsheets/d/1C3CXT74ZlgGe6_JY_1olB1XN4rF0dxEuIIF-xsYjHgg/edit?usp=sharing"",""งบกองทุน!Bd71"")"),95347)</f>
        <v>95347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IFERROR(__xludf.DUMMYFUNCTION("IMPORTRANGE(""https://docs.google.com/spreadsheets/d/1C3CXT74ZlgGe6_JY_1olB1XN4rF0dxEuIIF-xsYjHgg/edit?usp=sharing"",""งบกองทุน!BE71"")"),2218)</f>
        <v>2218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IFERROR(__xludf.DUMMYFUNCTION("IMPORTRANGE(""https://docs.google.com/spreadsheets/d/1C3CXT74ZlgGe6_JY_1olB1XN4rF0dxEuIIF-xsYjHgg/edit?usp=sharing"",""งบกองทุน!BE71"")"),2218)</f>
        <v>2218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IFERROR(__xludf.DUMMYFUNCTION("IMPORTRANGE(""https://docs.google.com/spreadsheets/d/1C3CXT74ZlgGe6_JY_1olB1XN4rF0dxEuIIF-xsYjHgg/edit?usp=sharing"",""งบกองทุน!Bf71"")"),311)</f>
        <v>311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2218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311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2218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311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IFERROR(__xludf.DUMMYFUNCTION("IMPORTRANGE(""https://docs.google.com/spreadsheets/d/1C3CXT74ZlgGe6_JY_1olB1XN4rF0dxEuIIF-xsYjHgg/edit?usp=sharing"",""งบกองทุน!cd71"")"),500)</f>
        <v>500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IFERROR(__xludf.DUMMYFUNCTION("IMPORTRANGE(""https://docs.google.com/spreadsheets/d/1C3CXT74ZlgGe6_JY_1olB1XN4rF0dxEuIIF-xsYjHgg/edit?usp=sharing"",""งบกองทุน!cd71"")"),500)</f>
        <v>500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IFERROR(__xludf.DUMMYFUNCTION("IMPORTRANGE(""https://docs.google.com/spreadsheets/d/1C3CXT74ZlgGe6_JY_1olB1XN4rF0dxEuIIF-xsYjHgg/edit?usp=sharing"",""งบกองทุน!cc71"")"),93)</f>
        <v>93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IFERROR(__xludf.DUMMYFUNCTION("IMPORTRANGE(""https://docs.google.com/spreadsheets/d/1C3CXT74ZlgGe6_JY_1olB1XN4rF0dxEuIIF-xsYjHgg/edit?usp=sharing"",""งบกองทุน!cz71"")"),0)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IFERROR(__xludf.DUMMYFUNCTION("IMPORTRANGE(""https://docs.google.com/spreadsheets/d/1C3CXT74ZlgGe6_JY_1olB1XN4rF0dxEuIIF-xsYjHgg/edit?usp=sharing"",""งบกองทุน!cz71"")"),0)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IFERROR(__xludf.DUMMYFUNCTION("IMPORTRANGE(""https://docs.google.com/spreadsheets/d/1C3CXT74ZlgGe6_JY_1olB1XN4rF0dxEuIIF-xsYjHgg/edit?usp=sharing"",""งบกองทุน!cy71"")"),0)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IFERROR(__xludf.DUMMYFUNCTION("IMPORTRANGE(""https://docs.google.com/spreadsheets/d/1C3CXT74ZlgGe6_JY_1olB1XN4rF0dxEuIIF-xsYjHgg/edit?usp=sharing"",""งบกองทุน!db71"")"),0)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IFERROR(__xludf.DUMMYFUNCTION("IMPORTRANGE(""https://docs.google.com/spreadsheets/d/1C3CXT74ZlgGe6_JY_1olB1XN4rF0dxEuIIF-xsYjHgg/edit?usp=sharing"",""งบกองทุน!da71"")"),0)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IFERROR(__xludf.DUMMYFUNCTION("IMPORTRANGE(""https://docs.google.com/spreadsheets/d/1C3CXT74ZlgGe6_JY_1olB1XN4rF0dxEuIIF-xsYjHgg/edit?usp=sharing"",""งบกองทุน!dd71"")"),0)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IFERROR(__xludf.DUMMYFUNCTION("IMPORTRANGE(""https://docs.google.com/spreadsheets/d/1C3CXT74ZlgGe6_JY_1olB1XN4rF0dxEuIIF-xsYjHgg/edit?usp=sharing"",""งบกองทุน!dc71"")"),0)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IFERROR(__xludf.DUMMYFUNCTION("IMPORTRANGE(""https://docs.google.com/spreadsheets/d/1C3CXT74ZlgGe6_JY_1olB1XN4rF0dxEuIIF-xsYjHgg/edit?usp=sharing"",""งบกองทุน!df71"")"),0)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IFERROR(__xludf.DUMMYFUNCTION("IMPORTRANGE(""https://docs.google.com/spreadsheets/d/1C3CXT74ZlgGe6_JY_1olB1XN4rF0dxEuIIF-xsYjHgg/edit?usp=sharing"",""งบกองทุน!de71"")"),0)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22</v>
      </c>
      <c r="K426" s="258">
        <f ca="1">IF(I426&gt;0,J426*100/I426,0)</f>
        <v>100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IFERROR(__xludf.DUMMYFUNCTION("IMPORTRANGE(""https://docs.google.com/spreadsheets/d/1C3CXT74ZlgGe6_JY_1olB1XN4rF0dxEuIIF-xsYjHgg/edit?usp=sharing"",""งบกองทุน!dn71"")"),0)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IFERROR(__xludf.DUMMYFUNCTION("IMPORTRANGE(""https://docs.google.com/spreadsheets/d/1C3CXT74ZlgGe6_JY_1olB1XN4rF0dxEuIIF-xsYjHgg/edit?usp=sharing"",""งบกองทุน!do71"")"),34340)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IFERROR(__xludf.DUMMYFUNCTION("IMPORTRANGE(""https://docs.google.com/spreadsheets/d/1C3CXT74ZlgGe6_JY_1olB1XN4rF0dxEuIIF-xsYjHgg/edit?usp=sharing"",""งบกองทุน!dq71"")"),22)</f>
        <v>22</v>
      </c>
      <c r="J440" s="67">
        <v>22</v>
      </c>
      <c r="K440" s="48">
        <f t="shared" ref="K440:K441" ca="1" si="95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IFERROR(__xludf.DUMMYFUNCTION("IMPORTRANGE(""https://docs.google.com/spreadsheets/d/1C3CXT74ZlgGe6_JY_1olB1XN4rF0dxEuIIF-xsYjHgg/edit?usp=sharing"",""งบกองทุน!dr71"")"),22)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IFERROR(__xludf.DUMMYFUNCTION("IMPORTRANGE(""https://docs.google.com/spreadsheets/d/1C3CXT74ZlgGe6_JY_1olB1XN4rF0dxEuIIF-xsYjHgg/edit?usp=sharing"",""งบกองทุน!dt71"")"),0)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IFERROR(__xludf.DUMMYFUNCTION("IMPORTRANGE(""https://docs.google.com/spreadsheets/d/1C3CXT74ZlgGe6_JY_1olB1XN4rF0dxEuIIF-xsYjHgg/edit?usp=sharing"",""งบกองทุน!du71"")"),0)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IFERROR(__xludf.DUMMYFUNCTION("IMPORTRANGE(""https://docs.google.com/spreadsheets/d/1C3CXT74ZlgGe6_JY_1olB1XN4rF0dxEuIIF-xsYjHgg/edit?usp=sharing"",""งบกองทุน!dw71"")"),0)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IFERROR(__xludf.DUMMYFUNCTION("IMPORTRANGE(""https://docs.google.com/spreadsheets/d/1C3CXT74ZlgGe6_JY_1olB1XN4rF0dxEuIIF-xsYjHgg/edit?usp=sharing"",""งบกองทุน!dx71"")"),0)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IFERROR(__xludf.DUMMYFUNCTION("IMPORTRANGE(""https://docs.google.com/spreadsheets/d/1C3CXT74ZlgGe6_JY_1olB1XN4rF0dxEuIIF-xsYjHgg/edit?usp=sharing"",""งบกองทุน!dy71"")"),0)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IFERROR(__xludf.DUMMYFUNCTION("IMPORTRANGE(""https://docs.google.com/spreadsheets/d/1C3CXT74ZlgGe6_JY_1olB1XN4rF0dxEuIIF-xsYjHgg/edit?usp=sharing"",""งบกองทุน!dz71"")"),0)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150</v>
      </c>
      <c r="J457" s="226">
        <f>+J466</f>
        <v>34</v>
      </c>
      <c r="K457" s="227">
        <f t="shared" ca="1" si="100"/>
        <v>22.666666666666668</v>
      </c>
      <c r="L457" s="228">
        <f t="shared" ref="L457:M457" ca="1" si="101">SUM(L458:L459)</f>
        <v>122400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122400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IFERROR(__xludf.DUMMYFUNCTION("IMPORTRANGE(""https://docs.google.com/spreadsheets/d/1C3CXT74ZlgGe6_JY_1olB1XN4rF0dxEuIIF-xsYjHgg/edit?usp=sharing"",""งบกองทุน!Eb71"")"),0)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IFERROR(__xludf.DUMMYFUNCTION("IMPORTRANGE(""https://docs.google.com/spreadsheets/d/1C3CXT74ZlgGe6_JY_1olB1XN4rF0dxEuIIF-xsYjHgg/edit?usp=sharing"",""งบกองทุน!Ec71"")"),122400)</f>
        <v>122400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IFERROR(__xludf.DUMMYFUNCTION("IMPORTRANGE(""https://docs.google.com/spreadsheets/d/1C3CXT74ZlgGe6_JY_1olB1XN4rF0dxEuIIF-xsYjHgg/edit?usp=sharing"",""งบกองทุน!Ed71"")"),150)</f>
        <v>150</v>
      </c>
      <c r="J466" s="265">
        <f>+J469+J470+J471+J472</f>
        <v>34</v>
      </c>
      <c r="K466" s="79">
        <f ca="1">IF(I466&gt;0,J466*100/I466,0)</f>
        <v>22.666666666666668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34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IFERROR(__xludf.DUMMYFUNCTION("IMPORTRANGE(""https://docs.google.com/spreadsheets/d/1C3CXT74ZlgGe6_JY_1olB1XN4rF0dxEuIIF-xsYjHgg/edit?usp=sharing"",""งบกองทุน!Ek71"")"),0)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IFERROR(__xludf.DUMMYFUNCTION("IMPORTRANGE(""https://docs.google.com/spreadsheets/d/1C3CXT74ZlgGe6_JY_1olB1XN4rF0dxEuIIF-xsYjHgg/edit?usp=sharing"",""งบกองทุน!El71"")"),0)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IFERROR(__xludf.DUMMYFUNCTION("IMPORTRANGE(""https://docs.google.com/spreadsheets/d/1C3CXT74ZlgGe6_JY_1olB1XN4rF0dxEuIIF-xsYjHgg/edit?usp=sharing"",""งบกองทุน!Em71"")"),0)</f>
        <v>0</v>
      </c>
      <c r="J482" s="66">
        <f ca="1">IFERROR(__xludf.DUMMYFUNCTION("IMPORTRANGE(""https://docs.google.com/spreadsheets/d/1AGHcLOeeYFL3K4b9R1dSzyJy00PE_ra89DNTVfnxSWM/edit?usp=sharing"",""รวมที่ชุมชน!G60"")"),0)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IFERROR(__xludf.DUMMYFUNCTION("IMPORTRANGE(""https://docs.google.com/spreadsheets/d/1C3CXT74ZlgGe6_JY_1olB1XN4rF0dxEuIIF-xsYjHgg/edit?usp=sharing"",""งบกองทุน!En71"")"),0)</f>
        <v>0</v>
      </c>
      <c r="J483" s="66">
        <f ca="1">IFERROR(__xludf.DUMMYFUNCTION("IMPORTRANGE(""https://docs.google.com/spreadsheets/d/1AGHcLOeeYFL3K4b9R1dSzyJy00PE_ra89DNTVfnxSWM/edit?usp=sharing"",""รวมที่ชุมชน!H60"")"),0)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IFERROR(__xludf.DUMMYFUNCTION("IMPORTRANGE(""https://docs.google.com/spreadsheets/d/1C3CXT74ZlgGe6_JY_1olB1XN4rF0dxEuIIF-xsYjHgg/edit?usp=sharing"",""งบกองทุน!Eo71"")"),0)</f>
        <v>0</v>
      </c>
      <c r="J484" s="66">
        <f ca="1">IFERROR(__xludf.DUMMYFUNCTION("IMPORTRANGE(""https://docs.google.com/spreadsheets/d/1AGHcLOeeYFL3K4b9R1dSzyJy00PE_ra89DNTVfnxSWM/edit?usp=sharing"",""รวมที่ชุมชน!J60"")"),0)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IFERROR(__xludf.DUMMYFUNCTION("IMPORTRANGE(""https://docs.google.com/spreadsheets/d/1C3CXT74ZlgGe6_JY_1olB1XN4rF0dxEuIIF-xsYjHgg/edit?usp=sharing"",""งบกองทุน!Ep71"")"),0)</f>
        <v>0</v>
      </c>
      <c r="J485" s="66">
        <f ca="1">IFERROR(__xludf.DUMMYFUNCTION("IMPORTRANGE(""https://docs.google.com/spreadsheets/d/1AGHcLOeeYFL3K4b9R1dSzyJy00PE_ra89DNTVfnxSWM/edit?usp=sharing"",""รวมที่ชุมชน!L60"")"),0)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IFERROR(__xludf.DUMMYFUNCTION("IMPORTRANGE(""https://docs.google.com/spreadsheets/d/1C3CXT74ZlgGe6_JY_1olB1XN4rF0dxEuIIF-xsYjHgg/edit?usp=sharing"",""งบกองทุน!Eq71"")"),0)</f>
        <v>0</v>
      </c>
      <c r="J486" s="66">
        <f ca="1">IFERROR(__xludf.DUMMYFUNCTION("IMPORTRANGE(""https://docs.google.com/spreadsheets/d/1AGHcLOeeYFL3K4b9R1dSzyJy00PE_ra89DNTVfnxSWM/edit?usp=sharing"",""รวมที่ชุมชน!S60"")"),0)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IFERROR(__xludf.DUMMYFUNCTION("IMPORTRANGE(""https://docs.google.com/spreadsheets/d/1C3CXT74ZlgGe6_JY_1olB1XN4rF0dxEuIIF-xsYjHgg/edit?usp=sharing"",""งบกองทุน!Er71"")"),0)</f>
        <v>0</v>
      </c>
      <c r="J487" s="66">
        <f ca="1">IFERROR(__xludf.DUMMYFUNCTION("IMPORTRANGE(""https://docs.google.com/spreadsheets/d/1AGHcLOeeYFL3K4b9R1dSzyJy00PE_ra89DNTVfnxSWM/edit?usp=sharing"",""รวมที่ชุมชน!U60"")"),0)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IFERROR(__xludf.DUMMYFUNCTION("IMPORTRANGE(""https://docs.google.com/spreadsheets/d/1C3CXT74ZlgGe6_JY_1olB1XN4rF0dxEuIIF-xsYjHgg/edit?usp=sharing"",""งบกองทุน!Es71"")"),0)</f>
        <v>0</v>
      </c>
      <c r="J488" s="66">
        <f ca="1">IFERROR(__xludf.DUMMYFUNCTION("IMPORTRANGE(""https://docs.google.com/spreadsheets/d/1AGHcLOeeYFL3K4b9R1dSzyJy00PE_ra89DNTVfnxSWM/edit?usp=sharing"",""รวมที่ชุมชน!V60"")"),0)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IFERROR(__xludf.DUMMYFUNCTION("IMPORTRANGE(""https://docs.google.com/spreadsheets/d/1C3CXT74ZlgGe6_JY_1olB1XN4rF0dxEuIIF-xsYjHgg/edit?usp=sharing"",""งบกองทุน!Et71"")"),0)</f>
        <v>0</v>
      </c>
      <c r="J489" s="111">
        <f ca="1">IFERROR(__xludf.DUMMYFUNCTION("IMPORTRANGE(""https://docs.google.com/spreadsheets/d/1AGHcLOeeYFL3K4b9R1dSzyJy00PE_ra89DNTVfnxSWM/edit?usp=sharing"",""รวมที่ชุมชน!X60"")"),0)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IFERROR(__xludf.DUMMYFUNCTION("IMPORTRANGE(""https://docs.google.com/spreadsheets/d/1C3CXT74ZlgGe6_JY_1olB1XN4rF0dxEuIIF-xsYjHgg/edit?usp=sharing"",""งบกองทุน!Ev71"")"),0)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IFERROR(__xludf.DUMMYFUNCTION("IMPORTRANGE(""https://docs.google.com/spreadsheets/d/1C3CXT74ZlgGe6_JY_1olB1XN4rF0dxEuIIF-xsYjHgg/edit?usp=sharing"",""งบกองทุน!Ew71"")"),4550)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IFERROR(__xludf.DUMMYFUNCTION("IMPORTRANGE(""https://docs.google.com/spreadsheets/d/1C3CXT74ZlgGe6_JY_1olB1XN4rF0dxEuIIF-xsYjHgg/edit?usp=sharing"",""งบกองทุน!EZ71"")"),50)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IFERROR(__xludf.DUMMYFUNCTION("IMPORTRANGE(""https://docs.google.com/spreadsheets/d/1C3CXT74ZlgGe6_JY_1olB1XN4rF0dxEuIIF-xsYjHgg/edit?usp=sharing"",""งบกองทุน!ff71"")"),0)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IFERROR(__xludf.DUMMYFUNCTION("IMPORTRANGE(""https://docs.google.com/spreadsheets/d/1muirlRDkqiswvy_NRZ3Yh955hx-PF6_HhssUYiSJj8o/edit?usp=sharing"",""กองทุน!D71"")"),1148779.43)</f>
        <v>1148779.43</v>
      </c>
      <c r="J521" s="199">
        <f ca="1">IFERROR(__xludf.DUMMYFUNCTION("IMPORTRANGE(""https://docs.google.com/spreadsheets/d/1muirlRDkqiswvy_NRZ3Yh955hx-PF6_HhssUYiSJj8o/edit?usp=sharing"",""กองทุน!F71"")"),0)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IFERROR(__xludf.DUMMYFUNCTION("IMPORTRANGE(""https://docs.google.com/spreadsheets/d/1muirlRDkqiswvy_NRZ3Yh955hx-PF6_HhssUYiSJj8o/edit?usp=sharing"",""กองทุน!C71"")"),86)</f>
        <v>86</v>
      </c>
      <c r="J522" s="199">
        <f ca="1">IFERROR(__xludf.DUMMYFUNCTION("IMPORTRANGE(""https://docs.google.com/spreadsheets/d/1muirlRDkqiswvy_NRZ3Yh955hx-PF6_HhssUYiSJj8o/edit?usp=sharing"",""กองทุน!E71"")"),0)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IFERROR(__xludf.DUMMYFUNCTION("IMPORTRANGE(""https://docs.google.com/spreadsheets/d/1muirlRDkqiswvy_NRZ3Yh955hx-PF6_HhssUYiSJj8o/edit?usp=sharing"",""กองทุน!I71"")"),486349.02)</f>
        <v>486349.02</v>
      </c>
      <c r="J523" s="199">
        <f ca="1">IFERROR(__xludf.DUMMYFUNCTION("IMPORTRANGE(""https://docs.google.com/spreadsheets/d/1muirlRDkqiswvy_NRZ3Yh955hx-PF6_HhssUYiSJj8o/edit?usp=sharing"",""กองทุน!K71"")"),0)</f>
        <v>0</v>
      </c>
      <c r="K523" s="200">
        <f t="shared" ca="1" si="116"/>
        <v>0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IFERROR(__xludf.DUMMYFUNCTION("IMPORTRANGE(""https://docs.google.com/spreadsheets/d/1muirlRDkqiswvy_NRZ3Yh955hx-PF6_HhssUYiSJj8o/edit?usp=sharing"",""กองทุน!H71"")"),21)</f>
        <v>21</v>
      </c>
      <c r="J524" s="199">
        <f ca="1">IFERROR(__xludf.DUMMYFUNCTION("IMPORTRANGE(""https://docs.google.com/spreadsheets/d/1muirlRDkqiswvy_NRZ3Yh955hx-PF6_HhssUYiSJj8o/edit?usp=sharing"",""กองทุน!J71"")"),0)</f>
        <v>0</v>
      </c>
      <c r="K524" s="200">
        <f t="shared" ca="1" si="116"/>
        <v>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IFERROR(__xludf.DUMMYFUNCTION("IMPORTRANGE(""https://docs.google.com/spreadsheets/d/1muirlRDkqiswvy_NRZ3Yh955hx-PF6_HhssUYiSJj8o/edit?usp=sharing"",""กองทุน!N71"")"),1118.75)</f>
        <v>1118.75</v>
      </c>
      <c r="J525" s="199">
        <f ca="1">IFERROR(__xludf.DUMMYFUNCTION("IMPORTRANGE(""https://docs.google.com/spreadsheets/d/1muirlRDkqiswvy_NRZ3Yh955hx-PF6_HhssUYiSJj8o/edit?usp=sharing"",""กองทุน!P71"")"),26230.3)</f>
        <v>26230.3</v>
      </c>
      <c r="K525" s="200">
        <f t="shared" ca="1" si="116"/>
        <v>2344.6078212290504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IFERROR(__xludf.DUMMYFUNCTION("IMPORTRANGE(""https://docs.google.com/spreadsheets/d/1muirlRDkqiswvy_NRZ3Yh955hx-PF6_HhssUYiSJj8o/edit?usp=sharing"",""กองทุน!M71"")"),1)</f>
        <v>1</v>
      </c>
      <c r="J526" s="199">
        <f ca="1">IFERROR(__xludf.DUMMYFUNCTION("IMPORTRANGE(""https://docs.google.com/spreadsheets/d/1muirlRDkqiswvy_NRZ3Yh955hx-PF6_HhssUYiSJj8o/edit?usp=sharing"",""กองทุน!O71"")"),2)</f>
        <v>2</v>
      </c>
      <c r="K526" s="200">
        <f t="shared" ca="1" si="116"/>
        <v>200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IFERROR(__xludf.DUMMYFUNCTION("IMPORTRANGE(""https://docs.google.com/spreadsheets/d/1muirlRDkqiswvy_NRZ3Yh955hx-PF6_HhssUYiSJj8o/edit?usp=sharing"",""กองทุน!S71"")"),1200000)</f>
        <v>1200000</v>
      </c>
      <c r="J527" s="199">
        <f ca="1">IFERROR(__xludf.DUMMYFUNCTION("IMPORTRANGE(""https://docs.google.com/spreadsheets/d/1muirlRDkqiswvy_NRZ3Yh955hx-PF6_HhssUYiSJj8o/edit?usp=sharing"",""กองทุน!U71"")"),0)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IFERROR(__xludf.DUMMYFUNCTION("IMPORTRANGE(""https://docs.google.com/spreadsheets/d/1muirlRDkqiswvy_NRZ3Yh955hx-PF6_HhssUYiSJj8o/edit?usp=sharing"",""กองทุน!R71"")"),27)</f>
        <v>27</v>
      </c>
      <c r="J528" s="324">
        <f ca="1">IFERROR(__xludf.DUMMYFUNCTION("IMPORTRANGE(""https://docs.google.com/spreadsheets/d/1muirlRDkqiswvy_NRZ3Yh955hx-PF6_HhssUYiSJj8o/edit?usp=sharing"",""กองทุน!T71"")"),0)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237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1255245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IFERROR(__xludf.DUMMYFUNCTION("IMPORTRANGE(""https://docs.google.com/spreadsheets/d/1C3CXT74ZlgGe6_JY_1olB1XN4rF0dxEuIIF-xsYjHgg/edit?usp=sharing"",""พรบ!C72"")"),0)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IFERROR(__xludf.DUMMYFUNCTION("IMPORTRANGE(""https://docs.google.com/spreadsheets/d/1C3CXT74ZlgGe6_JY_1olB1XN4rF0dxEuIIF-xsYjHgg/edit?usp=sharing"",""พรบ!D72"")"),0)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IFERROR(__xludf.DUMMYFUNCTION("IMPORTRANGE(""https://docs.google.com/spreadsheets/d/1C3CXT74ZlgGe6_JY_1olB1XN4rF0dxEuIIF-xsYjHgg/edit?usp=sharing"",""พรบ!E72"")"),0)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IFERROR(__xludf.DUMMYFUNCTION("IMPORTRANGE(""https://docs.google.com/spreadsheets/d/1C3CXT74ZlgGe6_JY_1olB1XN4rF0dxEuIIF-xsYjHgg/edit?usp=sharing"",""พรบ!H72"")"),0)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IFERROR(__xludf.DUMMYFUNCTION("IMPORTRANGE(""https://docs.google.com/spreadsheets/d/1C3CXT74ZlgGe6_JY_1olB1XN4rF0dxEuIIF-xsYjHgg/edit?usp=sharing"",""พรบ!I72"")"),0)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IFERROR(__xludf.DUMMYFUNCTION("IMPORTRANGE(""https://docs.google.com/spreadsheets/d/1C3CXT74ZlgGe6_JY_1olB1XN4rF0dxEuIIF-xsYjHgg/edit?usp=sharing"",""พรบ!J72"")"),0)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IFERROR(__xludf.DUMMYFUNCTION("IMPORTRANGE(""https://docs.google.com/spreadsheets/d/1C3CXT74ZlgGe6_JY_1olB1XN4rF0dxEuIIF-xsYjHgg/edit?usp=sharing"",""พรบ!K72"")"),0)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IFERROR(__xludf.DUMMYFUNCTION("IMPORTRANGE(""https://docs.google.com/spreadsheets/d/1C3CXT74ZlgGe6_JY_1olB1XN4rF0dxEuIIF-xsYjHgg/edit?usp=sharing"",""พรบ!L72"")"),0)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IFERROR(__xludf.DUMMYFUNCTION("IMPORTRANGE(""https://docs.google.com/spreadsheets/d/1C3CXT74ZlgGe6_JY_1olB1XN4rF0dxEuIIF-xsYjHgg/edit?usp=sharing"",""พรบ!M72"")"),0)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IFERROR(__xludf.DUMMYFUNCTION("IMPORTRANGE(""https://docs.google.com/spreadsheets/d/1C3CXT74ZlgGe6_JY_1olB1XN4rF0dxEuIIF-xsYjHgg/edit?usp=sharing"",""พรบ!N72"")"),0)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IFERROR(__xludf.DUMMYFUNCTION("IMPORTRANGE(""https://docs.google.com/spreadsheets/d/1C3CXT74ZlgGe6_JY_1olB1XN4rF0dxEuIIF-xsYjHgg/edit?usp=sharing"",""พรบ!O72"")"),0)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66"/>
      <c r="K36" s="232"/>
      <c r="L36" s="52">
        <f ca="1">IFERROR(__xludf.DUMMYFUNCTION("IMPORTRANGE(""https://docs.google.com/spreadsheets/d/1C3CXT74ZlgGe6_JY_1olB1XN4rF0dxEuIIF-xsYjHgg/edit?usp=sharing"",""พรบ!P72"")"),0)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IFERROR(__xludf.DUMMYFUNCTION("IMPORTRANGE(""https://docs.google.com/spreadsheets/d/1C3CXT74ZlgGe6_JY_1olB1XN4rF0dxEuIIF-xsYjHgg/edit?usp=sharing"",""พรบ!Q72"")"),0)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IFERROR(__xludf.DUMMYFUNCTION("IMPORTRANGE(""https://docs.google.com/spreadsheets/d/1C3CXT74ZlgGe6_JY_1olB1XN4rF0dxEuIIF-xsYjHgg/edit?usp=sharing"",""พรบ!R72"")"),0)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IFERROR(__xludf.DUMMYFUNCTION("IMPORTRANGE(""https://docs.google.com/spreadsheets/d/1C3CXT74ZlgGe6_JY_1olB1XN4rF0dxEuIIF-xsYjHgg/edit?usp=sharing"",""พรบ!S72"")"),0)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IFERROR(__xludf.DUMMYFUNCTION("IMPORTRANGE(""https://docs.google.com/spreadsheets/d/1C3CXT74ZlgGe6_JY_1olB1XN4rF0dxEuIIF-xsYjHgg/edit?usp=sharing"",""พรบ!T72"")"),0)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IFERROR(__xludf.DUMMYFUNCTION("IMPORTRANGE(""https://docs.google.com/spreadsheets/d/1C3CXT74ZlgGe6_JY_1olB1XN4rF0dxEuIIF-xsYjHgg/edit?usp=sharing"",""พรบ!U72"")"),0)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IFERROR(__xludf.DUMMYFUNCTION("IMPORTRANGE(""https://docs.google.com/spreadsheets/d/1C3CXT74ZlgGe6_JY_1olB1XN4rF0dxEuIIF-xsYjHgg/edit?usp=sharing"",""พรบ!V72"")"),0)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IFERROR(__xludf.DUMMYFUNCTION("IMPORTRANGE(""https://docs.google.com/spreadsheets/d/1C3CXT74ZlgGe6_JY_1olB1XN4rF0dxEuIIF-xsYjHgg/edit?usp=sharing"",""พรบ!W72"")"),0)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IFERROR(__xludf.DUMMYFUNCTION("IMPORTRANGE(""https://docs.google.com/spreadsheets/d/1C3CXT74ZlgGe6_JY_1olB1XN4rF0dxEuIIF-xsYjHgg/edit?usp=sharing"",""พรบ!Y72"")"),0)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IFERROR(__xludf.DUMMYFUNCTION("IMPORTRANGE(""https://docs.google.com/spreadsheets/d/1C3CXT74ZlgGe6_JY_1olB1XN4rF0dxEuIIF-xsYjHgg/edit?usp=sharing"",""พรบ!Z72"")"),0)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IFERROR(__xludf.DUMMYFUNCTION("IMPORTRANGE(""https://docs.google.com/spreadsheets/d/1C3CXT74ZlgGe6_JY_1olB1XN4rF0dxEuIIF-xsYjHgg/edit?usp=sharing"",""พรบ!AA72"")"),0)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20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340900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340900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IFERROR(__xludf.DUMMYFUNCTION("IMPORTRANGE(""https://docs.google.com/spreadsheets/d/1C3CXT74ZlgGe6_JY_1olB1XN4rF0dxEuIIF-xsYjHgg/edit?usp=sharing"",""พรบ!AD72"")"),232000)</f>
        <v>232000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108900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IFERROR(__xludf.DUMMYFUNCTION("IMPORTRANGE(""https://docs.google.com/spreadsheets/d/1C3CXT74ZlgGe6_JY_1olB1XN4rF0dxEuIIF-xsYjHgg/edit?usp=sharing"",""พรบ!AF72"")"),7500)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IFERROR(__xludf.DUMMYFUNCTION("IMPORTRANGE(""https://docs.google.com/spreadsheets/d/1C3CXT74ZlgGe6_JY_1olB1XN4rF0dxEuIIF-xsYjHgg/edit?usp=sharing"",""พรบ!AG72"")"),4)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IFERROR(__xludf.DUMMYFUNCTION("IMPORTRANGE(""https://docs.google.com/spreadsheets/d/1C3CXT74ZlgGe6_JY_1olB1XN4rF0dxEuIIF-xsYjHgg/edit?usp=sharing"",""พรบ!AH72"")"),14000)</f>
        <v>14000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IFERROR(__xludf.DUMMYFUNCTION("IMPORTRANGE(""https://docs.google.com/spreadsheets/d/1C3CXT74ZlgGe6_JY_1olB1XN4rF0dxEuIIF-xsYjHgg/edit?usp=sharing"",""พรบ!AI72"")"),1)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IFERROR(__xludf.DUMMYFUNCTION("IMPORTRANGE(""https://docs.google.com/spreadsheets/d/1C3CXT74ZlgGe6_JY_1olB1XN4rF0dxEuIIF-xsYjHgg/edit?usp=sharing"",""กปร!C72"")"),12000)</f>
        <v>12000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IFERROR(__xludf.DUMMYFUNCTION("IMPORTRANGE(""https://docs.google.com/spreadsheets/d/1C3CXT74ZlgGe6_JY_1olB1XN4rF0dxEuIIF-xsYjHgg/edit?usp=sharing"",""พรบ!AJ72"")"),0)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IFERROR(__xludf.DUMMYFUNCTION("IMPORTRANGE(""https://docs.google.com/spreadsheets/d/1C3CXT74ZlgGe6_JY_1olB1XN4rF0dxEuIIF-xsYjHgg/edit?usp=sharing"",""พรบ!AK72"")"),0)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IFERROR(__xludf.DUMMYFUNCTION("IMPORTRANGE(""https://docs.google.com/spreadsheets/d/1C3CXT74ZlgGe6_JY_1olB1XN4rF0dxEuIIF-xsYjHgg/edit?usp=sharing"",""กปร!D72"")"),0)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IFERROR(__xludf.DUMMYFUNCTION("IMPORTRANGE(""https://docs.google.com/spreadsheets/d/1C3CXT74ZlgGe6_JY_1olB1XN4rF0dxEuIIF-xsYjHgg/edit?usp=sharing"",""พรบ!AL72"")"),0)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IFERROR(__xludf.DUMMYFUNCTION("IMPORTRANGE(""https://docs.google.com/spreadsheets/d/1C3CXT74ZlgGe6_JY_1olB1XN4rF0dxEuIIF-xsYjHgg/edit?usp=sharing"",""กปร!E72"")"),0)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6400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7200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7200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IFERROR(__xludf.DUMMYFUNCTION("IMPORTRANGE(""https://docs.google.com/spreadsheets/d/1C3CXT74ZlgGe6_JY_1olB1XN4rF0dxEuIIF-xsYjHgg/edit?usp=sharing"",""พรบ!AM72"")"),7200)</f>
        <v>7200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IFERROR(__xludf.DUMMYFUNCTION("IMPORTRANGE(""https://docs.google.com/spreadsheets/d/1C3CXT74ZlgGe6_JY_1olB1XN4rF0dxEuIIF-xsYjHgg/edit?usp=sharing"",""พรบ!AO72"")"),6400)</f>
        <v>6400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IFERROR(__xludf.DUMMYFUNCTION("IMPORTRANGE(""https://docs.google.com/spreadsheets/d/1C3CXT74ZlgGe6_JY_1olB1XN4rF0dxEuIIF-xsYjHgg/edit?usp=sharing"",""พรบ!AP72"")"),6400)</f>
        <v>6400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IFERROR(__xludf.DUMMYFUNCTION("IMPORTRANGE(""https://docs.google.com/spreadsheets/d/1C3CXT74ZlgGe6_JY_1olB1XN4rF0dxEuIIF-xsYjHgg/edit?usp=sharing"",""กปร!F72"")"),3200)</f>
        <v>3200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IFERROR(__xludf.DUMMYFUNCTION("IMPORTRANGE(""https://docs.google.com/spreadsheets/d/1C3CXT74ZlgGe6_JY_1olB1XN4rF0dxEuIIF-xsYjHgg/edit?usp=sharing"",""พรบ!AQ72"")"),0)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IFERROR(__xludf.DUMMYFUNCTION("IMPORTRANGE(""https://docs.google.com/spreadsheets/d/1C3CXT74ZlgGe6_JY_1olB1XN4rF0dxEuIIF-xsYjHgg/edit?usp=sharing"",""กปร!G72"")"),0)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221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20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80200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80200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IFERROR(__xludf.DUMMYFUNCTION("IMPORTRANGE(""https://docs.google.com/spreadsheets/d/1C3CXT74ZlgGe6_JY_1olB1XN4rF0dxEuIIF-xsYjHgg/edit?usp=sharing"",""พรบ!AR72"")"),80200)</f>
        <v>80200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IFERROR(__xludf.DUMMYFUNCTION("IMPORTRANGE(""https://docs.google.com/spreadsheets/d/1C3CXT74ZlgGe6_JY_1olB1XN4rF0dxEuIIF-xsYjHgg/edit?usp=sharing"",""พรบ!AS72"")"),20)</f>
        <v>20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IFERROR(__xludf.DUMMYFUNCTION("IMPORTRANGE(""https://docs.google.com/spreadsheets/d/1C3CXT74ZlgGe6_JY_1olB1XN4rF0dxEuIIF-xsYjHgg/edit?usp=sharing"",""กปร!H72"")"),35200)</f>
        <v>35200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IFERROR(__xludf.DUMMYFUNCTION("IMPORTRANGE(""https://docs.google.com/spreadsheets/d/1C3CXT74ZlgGe6_JY_1olB1XN4rF0dxEuIIF-xsYjHgg/edit?usp=sharing"",""พรบ!AT72"")"),20)</f>
        <v>20</v>
      </c>
      <c r="J140" s="67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IFERROR(__xludf.DUMMYFUNCTION("IMPORTRANGE(""https://docs.google.com/spreadsheets/d/1C3CXT74ZlgGe6_JY_1olB1XN4rF0dxEuIIF-xsYjHgg/edit?usp=sharing"",""กปร!I72"")"),20000)</f>
        <v>20000</v>
      </c>
      <c r="M140" s="361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IFERROR(__xludf.DUMMYFUNCTION("IMPORTRANGE(""https://docs.google.com/spreadsheets/d/1C3CXT74ZlgGe6_JY_1olB1XN4rF0dxEuIIF-xsYjHgg/edit?usp=sharing"",""พรบ!AU72"")"),0)</f>
        <v>0</v>
      </c>
      <c r="J141" s="66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IFERROR(__xludf.DUMMYFUNCTION("IMPORTRANGE(""https://docs.google.com/spreadsheets/d/1C3CXT74ZlgGe6_JY_1olB1XN4rF0dxEuIIF-xsYjHgg/edit?usp=sharing"",""กปร!J72"")"),0)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IFERROR(__xludf.DUMMYFUNCTION("IMPORTRANGE(""https://docs.google.com/spreadsheets/d/1C3CXT74ZlgGe6_JY_1olB1XN4rF0dxEuIIF-xsYjHgg/edit?usp=sharing"",""พรบ!AY72"")"),21125)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IFERROR(__xludf.DUMMYFUNCTION("IMPORTRANGE(""https://docs.google.com/spreadsheets/d/1C3CXT74ZlgGe6_JY_1olB1XN4rF0dxEuIIF-xsYjHgg/edit?usp=sharing"",""พรบ!BA72"")"),15)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199000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199000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IFERROR(__xludf.DUMMYFUNCTION("IMPORTRANGE(""https://docs.google.com/spreadsheets/d/1C3CXT74ZlgGe6_JY_1olB1XN4rF0dxEuIIF-xsYjHgg/edit?usp=sharing"",""พรบ!BD72"")"),0)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IFERROR(__xludf.DUMMYFUNCTION("IMPORTRANGE(""https://docs.google.com/spreadsheets/d/1C3CXT74ZlgGe6_JY_1olB1XN4rF0dxEuIIF-xsYjHgg/edit?usp=sharing"",""พรบ!BE72"")"),199000)</f>
        <v>199000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IFERROR(__xludf.DUMMYFUNCTION("IMPORTRANGE(""https://docs.google.com/spreadsheets/d/1C3CXT74ZlgGe6_JY_1olB1XN4rF0dxEuIIF-xsYjHgg/edit?usp=sharing"",""พรบ!BF72"")"),1)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IFERROR(__xludf.DUMMYFUNCTION("IMPORTRANGE(""https://docs.google.com/spreadsheets/d/1C3CXT74ZlgGe6_JY_1olB1XN4rF0dxEuIIF-xsYjHgg/edit?usp=sharing"",""พรบ!BG72"")"),25)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IFERROR(__xludf.DUMMYFUNCTION("IMPORTRANGE(""https://docs.google.com/spreadsheets/d/1C3CXT74ZlgGe6_JY_1olB1XN4rF0dxEuIIF-xsYjHgg/edit?usp=sharing"",""พรบ!BH72"")"),25)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IFERROR(__xludf.DUMMYFUNCTION("IMPORTRANGE(""https://docs.google.com/spreadsheets/d/1C3CXT74ZlgGe6_JY_1olB1XN4rF0dxEuIIF-xsYjHgg/edit?usp=sharing"",""พรบ!BI72"")"),1)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IFERROR(__xludf.DUMMYFUNCTION("IMPORTRANGE(""https://docs.google.com/spreadsheets/d/1C3CXT74ZlgGe6_JY_1olB1XN4rF0dxEuIIF-xsYjHgg/edit?usp=sharing"",""พรบ!BK72"")"),0)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IFERROR(__xludf.DUMMYFUNCTION("IMPORTRANGE(""https://docs.google.com/spreadsheets/d/1C3CXT74ZlgGe6_JY_1olB1XN4rF0dxEuIIF-xsYjHgg/edit?usp=sharing"",""พรบ!BL72"")"),55200)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IFERROR(__xludf.DUMMYFUNCTION("IMPORTRANGE(""https://docs.google.com/spreadsheets/d/1C3CXT74ZlgGe6_JY_1olB1XN4rF0dxEuIIF-xsYjHgg/edit?usp=sharing"",""พรบ!BM72"")"),15)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IFERROR(__xludf.DUMMYFUNCTION("IMPORTRANGE(""https://docs.google.com/spreadsheets/d/1C3CXT74ZlgGe6_JY_1olB1XN4rF0dxEuIIF-xsYjHgg/edit?usp=sharing"",""พรบ!BP72"")"),0)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IFERROR(__xludf.DUMMYFUNCTION("IMPORTRANGE(""https://docs.google.com/spreadsheets/d/1C3CXT74ZlgGe6_JY_1olB1XN4rF0dxEuIIF-xsYjHgg/edit?usp=sharing"",""พรบ!BQ72"")"),0)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IFERROR(__xludf.DUMMYFUNCTION("IMPORTRANGE(""https://docs.google.com/spreadsheets/d/1C3CXT74ZlgGe6_JY_1olB1XN4rF0dxEuIIF-xsYjHgg/edit?usp=sharing"",""พรบ!BR72"")"),0)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IFERROR(__xludf.DUMMYFUNCTION("IMPORTRANGE(""https://docs.google.com/spreadsheets/d/1C3CXT74ZlgGe6_JY_1olB1XN4rF0dxEuIIF-xsYjHgg/edit?usp=sharing"",""พรบ!BU72"")"),0)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IFERROR(__xludf.DUMMYFUNCTION("IMPORTRANGE(""https://docs.google.com/spreadsheets/d/1C3CXT74ZlgGe6_JY_1olB1XN4rF0dxEuIIF-xsYjHgg/edit?usp=sharing"",""พรบ!BV72"")"),0)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62</v>
      </c>
      <c r="J228" s="197">
        <f ca="1">J240</f>
        <v>0</v>
      </c>
      <c r="K228" s="178">
        <f ca="1">IF(I228&gt;0,J228*100/I228,0)</f>
        <v>0</v>
      </c>
      <c r="L228" s="179">
        <f ca="1">L229+L230</f>
        <v>639020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639020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IFERROR(__xludf.DUMMYFUNCTION("IMPORTRANGE(""https://docs.google.com/spreadsheets/d/1C3CXT74ZlgGe6_JY_1olB1XN4rF0dxEuIIF-xsYjHgg/edit?usp=sharing"",""พรบ!BX72"")"),381200)</f>
        <v>381200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IFERROR(__xludf.DUMMYFUNCTION("IMPORTRANGE(""https://docs.google.com/spreadsheets/d/1C3CXT74ZlgGe6_JY_1olB1XN4rF0dxEuIIF-xsYjHgg/edit?usp=sharing"",""พรบ!BY72"")"),257820)</f>
        <v>257820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IFERROR(__xludf.DUMMYFUNCTION("IMPORTRANGE(""https://docs.google.com/spreadsheets/d/1AGHcLOeeYFL3K4b9R1dSzyJy00PE_ra89DNTVfnxSWM/edit?usp=sharing"",""รวมที่ทำกิน!J61"")"),17)</f>
        <v>17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IFERROR(__xludf.DUMMYFUNCTION("IMPORTRANGE(""https://docs.google.com/spreadsheets/d/1C3CXT74ZlgGe6_JY_1olB1XN4rF0dxEuIIF-xsYjHgg/edit?usp=sharing"",""พรบ!BZ72"")"),775)</f>
        <v>775</v>
      </c>
      <c r="J235" s="66">
        <f ca="1">IFERROR(__xludf.DUMMYFUNCTION("IMPORTRANGE(""https://docs.google.com/spreadsheets/d/1AGHcLOeeYFL3K4b9R1dSzyJy00PE_ra89DNTVfnxSWM/edit?usp=sharing"",""รวมที่ทำกิน!L61"")"),22.27)</f>
        <v>22.27</v>
      </c>
      <c r="K235" s="200">
        <f t="shared" ca="1" si="52"/>
        <v>2.8735483870967742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IFERROR(__xludf.DUMMYFUNCTION("IMPORTRANGE(""https://docs.google.com/spreadsheets/d/1C3CXT74ZlgGe6_JY_1olB1XN4rF0dxEuIIF-xsYjHgg/edit?usp=sharing"",""พรบ!CA72"")"),62)</f>
        <v>62</v>
      </c>
      <c r="J236" s="66">
        <f ca="1">IFERROR(__xludf.DUMMYFUNCTION("IMPORTRANGE(""https://docs.google.com/spreadsheets/d/1AGHcLOeeYFL3K4b9R1dSzyJy00PE_ra89DNTVfnxSWM/edit?usp=sharing"",""รวมที่ทำกิน!O61"")"),0)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IFERROR(__xludf.DUMMYFUNCTION("IMPORTRANGE(""https://docs.google.com/spreadsheets/d/1AGHcLOeeYFL3K4b9R1dSzyJy00PE_ra89DNTVfnxSWM/edit?usp=sharing"",""รวมที่ทำกิน!Q61"")"),0)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IFERROR(__xludf.DUMMYFUNCTION("IMPORTRANGE(""https://docs.google.com/spreadsheets/d/1C3CXT74ZlgGe6_JY_1olB1XN4rF0dxEuIIF-xsYjHgg/edit?usp=sharing"",""พรบ!CB72"")"),62)</f>
        <v>62</v>
      </c>
      <c r="J238" s="66">
        <f ca="1">IFERROR(__xludf.DUMMYFUNCTION("IMPORTRANGE(""https://docs.google.com/spreadsheets/d/1AGHcLOeeYFL3K4b9R1dSzyJy00PE_ra89DNTVfnxSWM/edit?usp=sharing"",""รวมที่ทำกิน!S61"")"),0)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IFERROR(__xludf.DUMMYFUNCTION("IMPORTRANGE(""https://docs.google.com/spreadsheets/d/1AGHcLOeeYFL3K4b9R1dSzyJy00PE_ra89DNTVfnxSWM/edit?usp=sharing"",""รวมที่ทำกิน!U61"")"),0)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IFERROR(__xludf.DUMMYFUNCTION("IMPORTRANGE(""https://docs.google.com/spreadsheets/d/1C3CXT74ZlgGe6_JY_1olB1XN4rF0dxEuIIF-xsYjHgg/edit?usp=sharing"",""พรบ!CC72"")"),62)</f>
        <v>62</v>
      </c>
      <c r="J240" s="66">
        <f ca="1">IFERROR(__xludf.DUMMYFUNCTION("IMPORTRANGE(""https://docs.google.com/spreadsheets/d/1AGHcLOeeYFL3K4b9R1dSzyJy00PE_ra89DNTVfnxSWM/edit?usp=sharing"",""รวมที่ทำกิน!W61"")"),0)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IFERROR(__xludf.DUMMYFUNCTION("IMPORTRANGE(""https://docs.google.com/spreadsheets/d/1AGHcLOeeYFL3K4b9R1dSzyJy00PE_ra89DNTVfnxSWM/edit?usp=sharing"",""รวมที่ทำกิน!Y61"")"),0)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992889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80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280560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25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280560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IFERROR(__xludf.DUMMYFUNCTION("IMPORTRANGE(""https://docs.google.com/spreadsheets/d/1C3CXT74ZlgGe6_JY_1olB1XN4rF0dxEuIIF-xsYjHgg/edit?usp=sharing"",""งบกองทุน!d72"")"),0)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IFERROR(__xludf.DUMMYFUNCTION("IMPORTRANGE(""https://docs.google.com/spreadsheets/d/1C3CXT74ZlgGe6_JY_1olB1XN4rF0dxEuIIF-xsYjHgg/edit?usp=sharing"",""งบกองทุน!e72"")"),280560)</f>
        <v>280560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IFERROR(__xludf.DUMMYFUNCTION("IMPORTRANGE(""https://docs.google.com/spreadsheets/d/1C3CXT74ZlgGe6_JY_1olB1XN4rF0dxEuIIF-xsYjHgg/edit?usp=sharing"",""งบกองทุน!f72"")"),0)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80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IFERROR(__xludf.DUMMYFUNCTION("IMPORTRANGE(""https://docs.google.com/spreadsheets/d/1C3CXT74ZlgGe6_JY_1olB1XN4rF0dxEuIIF-xsYjHgg/edit?usp=sharing"",""งบกองทุน!H72"")"),25)</f>
        <v>25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IFERROR(__xludf.DUMMYFUNCTION("IMPORTRANGE(""https://docs.google.com/spreadsheets/d/1C3CXT74ZlgGe6_JY_1olB1XN4rF0dxEuIIF-xsYjHgg/edit?usp=sharing"",""งบกองทุน!i72"")"),65)</f>
        <v>65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25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IFERROR(__xludf.DUMMYFUNCTION("IMPORTRANGE(""https://docs.google.com/spreadsheets/d/1C3CXT74ZlgGe6_JY_1olB1XN4rF0dxEuIIF-xsYjHgg/edit?usp=sharing"",""งบกองทุน!k72"")"),15)</f>
        <v>15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25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IFERROR(__xludf.DUMMYFUNCTION("IMPORTRANGE(""https://docs.google.com/spreadsheets/d/1C3CXT74ZlgGe6_JY_1olB1XN4rF0dxEuIIF-xsYjHgg/edit?usp=sharing"",""งบกองทุน!m72"")"),0)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80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IFERROR(__xludf.DUMMYFUNCTION("IMPORTRANGE(""https://docs.google.com/spreadsheets/d/1C3CXT74ZlgGe6_JY_1olB1XN4rF0dxEuIIF-xsYjHgg/edit?usp=sharing"",""งบกองทุน!o72"")"),15)</f>
        <v>15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IFERROR(__xludf.DUMMYFUNCTION("IMPORTRANGE(""https://docs.google.com/spreadsheets/d/1C3CXT74ZlgGe6_JY_1olB1XN4rF0dxEuIIF-xsYjHgg/edit?usp=sharing"",""งบกองทุน!p72"")"),65)</f>
        <v>65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207560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207560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IFERROR(__xludf.DUMMYFUNCTION("IMPORTRANGE(""https://docs.google.com/spreadsheets/d/1C3CXT74ZlgGe6_JY_1olB1XN4rF0dxEuIIF-xsYjHgg/edit?usp=sharing"",""งบกองทุน!r72"")"),0)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IFERROR(__xludf.DUMMYFUNCTION("IMPORTRANGE(""https://docs.google.com/spreadsheets/d/1C3CXT74ZlgGe6_JY_1olB1XN4rF0dxEuIIF-xsYjHgg/edit?usp=sharing"",""งบกองทุน!s72"")"),207560)</f>
        <v>207560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IFERROR(__xludf.DUMMYFUNCTION("IMPORTRANGE(""https://docs.google.com/spreadsheets/d/1C3CXT74ZlgGe6_JY_1olB1XN4rF0dxEuIIF-xsYjHgg/edit?usp=sharing"",""งบกองทุน!v72"")"),20)</f>
        <v>20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IFERROR(__xludf.DUMMYFUNCTION("IMPORTRANGE(""https://docs.google.com/spreadsheets/d/1C3CXT74ZlgGe6_JY_1olB1XN4rF0dxEuIIF-xsYjHgg/edit?usp=sharing"",""งบกองทุน!w72"")"),200)</f>
        <v>200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IFERROR(__xludf.DUMMYFUNCTION("IMPORTRANGE(""https://docs.google.com/spreadsheets/d/1C3CXT74ZlgGe6_JY_1olB1XN4rF0dxEuIIF-xsYjHgg/edit?usp=sharing"",""งบกองทุน!x72"")"),20)</f>
        <v>20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135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156040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45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156040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IFERROR(__xludf.DUMMYFUNCTION("IMPORTRANGE(""https://docs.google.com/spreadsheets/d/1C3CXT74ZlgGe6_JY_1olB1XN4rF0dxEuIIF-xsYjHgg/edit?usp=sharing"",""งบกองทุน!z72"")"),0)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IFERROR(__xludf.DUMMYFUNCTION("IMPORTRANGE(""https://docs.google.com/spreadsheets/d/1C3CXT74ZlgGe6_JY_1olB1XN4rF0dxEuIIF-xsYjHgg/edit?usp=sharing"",""งบกองทุน!aa72"")"),156040)</f>
        <v>156040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45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IFERROR(__xludf.DUMMYFUNCTION("IMPORTRANGE(""https://docs.google.com/spreadsheets/d/1C3CXT74ZlgGe6_JY_1olB1XN4rF0dxEuIIF-xsYjHgg/edit?usp=sharing"",""งบกองทุน!ae72"")"),15)</f>
        <v>15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IFERROR(__xludf.DUMMYFUNCTION("IMPORTRANGE(""https://docs.google.com/spreadsheets/d/1C3CXT74ZlgGe6_JY_1olB1XN4rF0dxEuIIF-xsYjHgg/edit?usp=sharing"",""งบกองทุน!ad72"")"),45)</f>
        <v>45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IFERROR(__xludf.DUMMYFUNCTION("IMPORTRANGE(""https://docs.google.com/spreadsheets/d/1C3CXT74ZlgGe6_JY_1olB1XN4rF0dxEuIIF-xsYjHgg/edit?usp=sharing"",""งบกองทุน!af72"")"),15)</f>
        <v>15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IFERROR(__xludf.DUMMYFUNCTION("IMPORTRANGE(""https://docs.google.com/spreadsheets/d/1C3CXT74ZlgGe6_JY_1olB1XN4rF0dxEuIIF-xsYjHgg/edit?usp=sharing"",""งบกองทุน!ag72"")"),15)</f>
        <v>15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IFERROR(__xludf.DUMMYFUNCTION("IMPORTRANGE(""https://docs.google.com/spreadsheets/d/1C3CXT74ZlgGe6_JY_1olB1XN4rF0dxEuIIF-xsYjHgg/edit?usp=sharing"",""งบกองทุน!ai72"")"),16)</f>
        <v>16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IFERROR(__xludf.DUMMYFUNCTION("IMPORTRANGE(""https://docs.google.com/spreadsheets/d/1C3CXT74ZlgGe6_JY_1olB1XN4rF0dxEuIIF-xsYjHgg/edit?usp=sharing"",""งบกองทุน!ah72"")"),48)</f>
        <v>48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IFERROR(__xludf.DUMMYFUNCTION("IMPORTRANGE(""https://docs.google.com/spreadsheets/d/1C3CXT74ZlgGe6_JY_1olB1XN4rF0dxEuIIF-xsYjHgg/edit?usp=sharing"",""งบกองทุน!aj72"")"),16)</f>
        <v>16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IFERROR(__xludf.DUMMYFUNCTION("IMPORTRANGE(""https://docs.google.com/spreadsheets/d/1C3CXT74ZlgGe6_JY_1olB1XN4rF0dxEuIIF-xsYjHgg/edit?usp=sharing"",""งบกองทุน!ak72"")"),16)</f>
        <v>16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IFERROR(__xludf.DUMMYFUNCTION("IMPORTRANGE(""https://docs.google.com/spreadsheets/d/1C3CXT74ZlgGe6_JY_1olB1XN4rF0dxEuIIF-xsYjHgg/edit?usp=sharing"",""งบกองทุน!al72"")"),16)</f>
        <v>16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IFERROR(__xludf.DUMMYFUNCTION("IMPORTRANGE(""https://docs.google.com/spreadsheets/d/1C3CXT74ZlgGe6_JY_1olB1XN4rF0dxEuIIF-xsYjHgg/edit?usp=sharing"",""งบกองทุน!an72"")"),14)</f>
        <v>14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IFERROR(__xludf.DUMMYFUNCTION("IMPORTRANGE(""https://docs.google.com/spreadsheets/d/1C3CXT74ZlgGe6_JY_1olB1XN4rF0dxEuIIF-xsYjHgg/edit?usp=sharing"",""งบกองทุน!am72"")"),42)</f>
        <v>42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IFERROR(__xludf.DUMMYFUNCTION("IMPORTRANGE(""https://docs.google.com/spreadsheets/d/1C3CXT74ZlgGe6_JY_1olB1XN4rF0dxEuIIF-xsYjHgg/edit?usp=sharing"",""งบกองทุน!ao72"")"),14)</f>
        <v>14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IFERROR(__xludf.DUMMYFUNCTION("IMPORTRANGE(""https://docs.google.com/spreadsheets/d/1C3CXT74ZlgGe6_JY_1olB1XN4rF0dxEuIIF-xsYjHgg/edit?usp=sharing"",""งบกองทุน!ap72"")"),14)</f>
        <v>14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31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IFERROR(__xludf.DUMMYFUNCTION("IMPORTRANGE(""https://docs.google.com/spreadsheets/d/1C3CXT74ZlgGe6_JY_1olB1XN4rF0dxEuIIF-xsYjHgg/edit?usp=sharing"",""งบกองทุน!ar72"")"),15)</f>
        <v>15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IFERROR(__xludf.DUMMYFUNCTION("IMPORTRANGE(""https://docs.google.com/spreadsheets/d/1C3CXT74ZlgGe6_JY_1olB1XN4rF0dxEuIIF-xsYjHgg/edit?usp=sharing"",""งบกองทุน!as72"")"),16)</f>
        <v>16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IFERROR(__xludf.DUMMYFUNCTION("IMPORTRANGE(""https://docs.google.com/spreadsheets/d/1C3CXT74ZlgGe6_JY_1olB1XN4rF0dxEuIIF-xsYjHgg/edit?usp=sharing"",""งบกองทุน!au72"")"),0)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IFERROR(__xludf.DUMMYFUNCTION("IMPORTRANGE(""https://docs.google.com/spreadsheets/d/1C3CXT74ZlgGe6_JY_1olB1XN4rF0dxEuIIF-xsYjHgg/edit?usp=sharing"",""งบกองทุน!av72"")"),95000)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20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IFERROR(__xludf.DUMMYFUNCTION("IMPORTRANGE(""https://docs.google.com/spreadsheets/d/1C3CXT74ZlgGe6_JY_1olB1XN4rF0dxEuIIF-xsYjHgg/edit?usp=sharing"",""งบกองทุน!ay72"")"),20)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IFERROR(__xludf.DUMMYFUNCTION("IMPORTRANGE(""https://docs.google.com/spreadsheets/d/1C3CXT74ZlgGe6_JY_1olB1XN4rF0dxEuIIF-xsYjHgg/edit?usp=sharing"",""งบกองทุน!az72"")"),0)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IFERROR(__xludf.DUMMYFUNCTION("IMPORTRANGE(""https://docs.google.com/spreadsheets/d/1C3CXT74ZlgGe6_JY_1olB1XN4rF0dxEuIIF-xsYjHgg/edit?usp=sharing"",""งบกองทุน!Ba72"")"),0)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7112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94119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94119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IFERROR(__xludf.DUMMYFUNCTION("IMPORTRANGE(""https://docs.google.com/spreadsheets/d/1C3CXT74ZlgGe6_JY_1olB1XN4rF0dxEuIIF-xsYjHgg/edit?usp=sharing"",""งบกองทุน!Bc72"")"),0)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IFERROR(__xludf.DUMMYFUNCTION("IMPORTRANGE(""https://docs.google.com/spreadsheets/d/1C3CXT74ZlgGe6_JY_1olB1XN4rF0dxEuIIF-xsYjHgg/edit?usp=sharing"",""งบกองทุน!Bd72"")"),94119)</f>
        <v>94119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IFERROR(__xludf.DUMMYFUNCTION("IMPORTRANGE(""https://docs.google.com/spreadsheets/d/1C3CXT74ZlgGe6_JY_1olB1XN4rF0dxEuIIF-xsYjHgg/edit?usp=sharing"",""งบกองทุน!BE72"")"),7112)</f>
        <v>7112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IFERROR(__xludf.DUMMYFUNCTION("IMPORTRANGE(""https://docs.google.com/spreadsheets/d/1C3CXT74ZlgGe6_JY_1olB1XN4rF0dxEuIIF-xsYjHgg/edit?usp=sharing"",""งบกองทุน!BE72"")"),7112)</f>
        <v>7112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IFERROR(__xludf.DUMMYFUNCTION("IMPORTRANGE(""https://docs.google.com/spreadsheets/d/1C3CXT74ZlgGe6_JY_1olB1XN4rF0dxEuIIF-xsYjHgg/edit?usp=sharing"",""งบกองทุน!Bf72"")"),645)</f>
        <v>645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7112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645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7112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645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IFERROR(__xludf.DUMMYFUNCTION("IMPORTRANGE(""https://docs.google.com/spreadsheets/d/1C3CXT74ZlgGe6_JY_1olB1XN4rF0dxEuIIF-xsYjHgg/edit?usp=sharing"",""งบกองทุน!cd72"")"),65)</f>
        <v>65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IFERROR(__xludf.DUMMYFUNCTION("IMPORTRANGE(""https://docs.google.com/spreadsheets/d/1C3CXT74ZlgGe6_JY_1olB1XN4rF0dxEuIIF-xsYjHgg/edit?usp=sharing"",""งบกองทุน!cd72"")"),65)</f>
        <v>65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IFERROR(__xludf.DUMMYFUNCTION("IMPORTRANGE(""https://docs.google.com/spreadsheets/d/1C3CXT74ZlgGe6_JY_1olB1XN4rF0dxEuIIF-xsYjHgg/edit?usp=sharing"",""งบกองทุน!cc72"")"),12)</f>
        <v>12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IFERROR(__xludf.DUMMYFUNCTION("IMPORTRANGE(""https://docs.google.com/spreadsheets/d/1C3CXT74ZlgGe6_JY_1olB1XN4rF0dxEuIIF-xsYjHgg/edit?usp=sharing"",""งบกองทุน!cz72"")"),0)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IFERROR(__xludf.DUMMYFUNCTION("IMPORTRANGE(""https://docs.google.com/spreadsheets/d/1C3CXT74ZlgGe6_JY_1olB1XN4rF0dxEuIIF-xsYjHgg/edit?usp=sharing"",""งบกองทุน!cz72"")"),0)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IFERROR(__xludf.DUMMYFUNCTION("IMPORTRANGE(""https://docs.google.com/spreadsheets/d/1C3CXT74ZlgGe6_JY_1olB1XN4rF0dxEuIIF-xsYjHgg/edit?usp=sharing"",""งบกองทุน!cy72"")"),0)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IFERROR(__xludf.DUMMYFUNCTION("IMPORTRANGE(""https://docs.google.com/spreadsheets/d/1C3CXT74ZlgGe6_JY_1olB1XN4rF0dxEuIIF-xsYjHgg/edit?usp=sharing"",""งบกองทุน!db72"")"),0)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IFERROR(__xludf.DUMMYFUNCTION("IMPORTRANGE(""https://docs.google.com/spreadsheets/d/1C3CXT74ZlgGe6_JY_1olB1XN4rF0dxEuIIF-xsYjHgg/edit?usp=sharing"",""งบกองทุน!da72"")"),0)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IFERROR(__xludf.DUMMYFUNCTION("IMPORTRANGE(""https://docs.google.com/spreadsheets/d/1C3CXT74ZlgGe6_JY_1olB1XN4rF0dxEuIIF-xsYjHgg/edit?usp=sharing"",""งบกองทุน!dd72"")"),0)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IFERROR(__xludf.DUMMYFUNCTION("IMPORTRANGE(""https://docs.google.com/spreadsheets/d/1C3CXT74ZlgGe6_JY_1olB1XN4rF0dxEuIIF-xsYjHgg/edit?usp=sharing"",""งบกองทุน!dc72"")"),0)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IFERROR(__xludf.DUMMYFUNCTION("IMPORTRANGE(""https://docs.google.com/spreadsheets/d/1C3CXT74ZlgGe6_JY_1olB1XN4rF0dxEuIIF-xsYjHgg/edit?usp=sharing"",""งบกองทุน!df72"")"),0)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IFERROR(__xludf.DUMMYFUNCTION("IMPORTRANGE(""https://docs.google.com/spreadsheets/d/1C3CXT74ZlgGe6_JY_1olB1XN4rF0dxEuIIF-xsYjHgg/edit?usp=sharing"",""งบกองทุน!de72"")"),0)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IFERROR(__xludf.DUMMYFUNCTION("IMPORTRANGE(""https://docs.google.com/spreadsheets/d/1C3CXT74ZlgGe6_JY_1olB1XN4rF0dxEuIIF-xsYjHgg/edit?usp=sharing"",""งบกองทุน!dn72"")"),0)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IFERROR(__xludf.DUMMYFUNCTION("IMPORTRANGE(""https://docs.google.com/spreadsheets/d/1C3CXT74ZlgGe6_JY_1olB1XN4rF0dxEuIIF-xsYjHgg/edit?usp=sharing"",""งบกองทุน!do72"")"),34340)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IFERROR(__xludf.DUMMYFUNCTION("IMPORTRANGE(""https://docs.google.com/spreadsheets/d/1C3CXT74ZlgGe6_JY_1olB1XN4rF0dxEuIIF-xsYjHgg/edit?usp=sharing"",""งบกองทุน!dq72"")"),22)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IFERROR(__xludf.DUMMYFUNCTION("IMPORTRANGE(""https://docs.google.com/spreadsheets/d/1C3CXT74ZlgGe6_JY_1olB1XN4rF0dxEuIIF-xsYjHgg/edit?usp=sharing"",""งบกองทุน!dr72"")"),22)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IFERROR(__xludf.DUMMYFUNCTION("IMPORTRANGE(""https://docs.google.com/spreadsheets/d/1C3CXT74ZlgGe6_JY_1olB1XN4rF0dxEuIIF-xsYjHgg/edit?usp=sharing"",""งบกองทุน!dt72"")"),0)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IFERROR(__xludf.DUMMYFUNCTION("IMPORTRANGE(""https://docs.google.com/spreadsheets/d/1C3CXT74ZlgGe6_JY_1olB1XN4rF0dxEuIIF-xsYjHgg/edit?usp=sharing"",""งบกองทุน!du72"")"),0)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IFERROR(__xludf.DUMMYFUNCTION("IMPORTRANGE(""https://docs.google.com/spreadsheets/d/1C3CXT74ZlgGe6_JY_1olB1XN4rF0dxEuIIF-xsYjHgg/edit?usp=sharing"",""งบกองทุน!dw72"")"),0)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IFERROR(__xludf.DUMMYFUNCTION("IMPORTRANGE(""https://docs.google.com/spreadsheets/d/1C3CXT74ZlgGe6_JY_1olB1XN4rF0dxEuIIF-xsYjHgg/edit?usp=sharing"",""งบกองทุน!dx72"")"),0)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IFERROR(__xludf.DUMMYFUNCTION("IMPORTRANGE(""https://docs.google.com/spreadsheets/d/1C3CXT74ZlgGe6_JY_1olB1XN4rF0dxEuIIF-xsYjHgg/edit?usp=sharing"",""งบกองทุน!dy72"")"),0)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IFERROR(__xludf.DUMMYFUNCTION("IMPORTRANGE(""https://docs.google.com/spreadsheets/d/1C3CXT74ZlgGe6_JY_1olB1XN4rF0dxEuIIF-xsYjHgg/edit?usp=sharing"",""งบกองทุน!dz72"")"),0)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200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120720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120720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IFERROR(__xludf.DUMMYFUNCTION("IMPORTRANGE(""https://docs.google.com/spreadsheets/d/1C3CXT74ZlgGe6_JY_1olB1XN4rF0dxEuIIF-xsYjHgg/edit?usp=sharing"",""งบกองทุน!Eb72"")"),0)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IFERROR(__xludf.DUMMYFUNCTION("IMPORTRANGE(""https://docs.google.com/spreadsheets/d/1C3CXT74ZlgGe6_JY_1olB1XN4rF0dxEuIIF-xsYjHgg/edit?usp=sharing"",""งบกองทุน!Ec72"")"),120720)</f>
        <v>120720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IFERROR(__xludf.DUMMYFUNCTION("IMPORTRANGE(""https://docs.google.com/spreadsheets/d/1C3CXT74ZlgGe6_JY_1olB1XN4rF0dxEuIIF-xsYjHgg/edit?usp=sharing"",""งบกองทุน!Ed72"")"),200)</f>
        <v>200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IFERROR(__xludf.DUMMYFUNCTION("IMPORTRANGE(""https://docs.google.com/spreadsheets/d/1C3CXT74ZlgGe6_JY_1olB1XN4rF0dxEuIIF-xsYjHgg/edit?usp=sharing"",""งบกองทุน!Ek72"")"),0)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IFERROR(__xludf.DUMMYFUNCTION("IMPORTRANGE(""https://docs.google.com/spreadsheets/d/1C3CXT74ZlgGe6_JY_1olB1XN4rF0dxEuIIF-xsYjHgg/edit?usp=sharing"",""งบกองทุน!El72"")"),0)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IFERROR(__xludf.DUMMYFUNCTION("IMPORTRANGE(""https://docs.google.com/spreadsheets/d/1C3CXT74ZlgGe6_JY_1olB1XN4rF0dxEuIIF-xsYjHgg/edit?usp=sharing"",""งบกองทุน!Em72"")"),0)</f>
        <v>0</v>
      </c>
      <c r="J482" s="66">
        <f ca="1">IFERROR(__xludf.DUMMYFUNCTION("IMPORTRANGE(""https://docs.google.com/spreadsheets/d/1AGHcLOeeYFL3K4b9R1dSzyJy00PE_ra89DNTVfnxSWM/edit?usp=sharing"",""รวมที่ชุมชน!G61"")"),0)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IFERROR(__xludf.DUMMYFUNCTION("IMPORTRANGE(""https://docs.google.com/spreadsheets/d/1C3CXT74ZlgGe6_JY_1olB1XN4rF0dxEuIIF-xsYjHgg/edit?usp=sharing"",""งบกองทุน!En72"")"),0)</f>
        <v>0</v>
      </c>
      <c r="J483" s="66">
        <f ca="1">IFERROR(__xludf.DUMMYFUNCTION("IMPORTRANGE(""https://docs.google.com/spreadsheets/d/1AGHcLOeeYFL3K4b9R1dSzyJy00PE_ra89DNTVfnxSWM/edit?usp=sharing"",""รวมที่ชุมชน!H61"")"),0)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IFERROR(__xludf.DUMMYFUNCTION("IMPORTRANGE(""https://docs.google.com/spreadsheets/d/1C3CXT74ZlgGe6_JY_1olB1XN4rF0dxEuIIF-xsYjHgg/edit?usp=sharing"",""งบกองทุน!Eo72"")"),0)</f>
        <v>0</v>
      </c>
      <c r="J484" s="66">
        <f ca="1">IFERROR(__xludf.DUMMYFUNCTION("IMPORTRANGE(""https://docs.google.com/spreadsheets/d/1AGHcLOeeYFL3K4b9R1dSzyJy00PE_ra89DNTVfnxSWM/edit?usp=sharing"",""รวมที่ชุมชน!J61"")"),0)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IFERROR(__xludf.DUMMYFUNCTION("IMPORTRANGE(""https://docs.google.com/spreadsheets/d/1C3CXT74ZlgGe6_JY_1olB1XN4rF0dxEuIIF-xsYjHgg/edit?usp=sharing"",""งบกองทุน!Ep72"")"),0)</f>
        <v>0</v>
      </c>
      <c r="J485" s="66">
        <f ca="1">IFERROR(__xludf.DUMMYFUNCTION("IMPORTRANGE(""https://docs.google.com/spreadsheets/d/1AGHcLOeeYFL3K4b9R1dSzyJy00PE_ra89DNTVfnxSWM/edit?usp=sharing"",""รวมที่ชุมชน!L61"")"),0)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IFERROR(__xludf.DUMMYFUNCTION("IMPORTRANGE(""https://docs.google.com/spreadsheets/d/1C3CXT74ZlgGe6_JY_1olB1XN4rF0dxEuIIF-xsYjHgg/edit?usp=sharing"",""งบกองทุน!Eq72"")"),0)</f>
        <v>0</v>
      </c>
      <c r="J486" s="66">
        <f ca="1">IFERROR(__xludf.DUMMYFUNCTION("IMPORTRANGE(""https://docs.google.com/spreadsheets/d/1AGHcLOeeYFL3K4b9R1dSzyJy00PE_ra89DNTVfnxSWM/edit?usp=sharing"",""รวมที่ชุมชน!S61"")"),0)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IFERROR(__xludf.DUMMYFUNCTION("IMPORTRANGE(""https://docs.google.com/spreadsheets/d/1C3CXT74ZlgGe6_JY_1olB1XN4rF0dxEuIIF-xsYjHgg/edit?usp=sharing"",""งบกองทุน!Er72"")"),0)</f>
        <v>0</v>
      </c>
      <c r="J487" s="66">
        <f ca="1">IFERROR(__xludf.DUMMYFUNCTION("IMPORTRANGE(""https://docs.google.com/spreadsheets/d/1AGHcLOeeYFL3K4b9R1dSzyJy00PE_ra89DNTVfnxSWM/edit?usp=sharing"",""รวมที่ชุมชน!U61"")"),0)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IFERROR(__xludf.DUMMYFUNCTION("IMPORTRANGE(""https://docs.google.com/spreadsheets/d/1C3CXT74ZlgGe6_JY_1olB1XN4rF0dxEuIIF-xsYjHgg/edit?usp=sharing"",""งบกองทุน!Es72"")"),0)</f>
        <v>0</v>
      </c>
      <c r="J488" s="66">
        <f ca="1">IFERROR(__xludf.DUMMYFUNCTION("IMPORTRANGE(""https://docs.google.com/spreadsheets/d/1AGHcLOeeYFL3K4b9R1dSzyJy00PE_ra89DNTVfnxSWM/edit?usp=sharing"",""รวมที่ชุมชน!V61"")"),0)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IFERROR(__xludf.DUMMYFUNCTION("IMPORTRANGE(""https://docs.google.com/spreadsheets/d/1C3CXT74ZlgGe6_JY_1olB1XN4rF0dxEuIIF-xsYjHgg/edit?usp=sharing"",""งบกองทุน!Et72"")"),0)</f>
        <v>0</v>
      </c>
      <c r="J489" s="111">
        <f ca="1">IFERROR(__xludf.DUMMYFUNCTION("IMPORTRANGE(""https://docs.google.com/spreadsheets/d/1AGHcLOeeYFL3K4b9R1dSzyJy00PE_ra89DNTVfnxSWM/edit?usp=sharing"",""รวมที่ชุมชน!X61"")"),0)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IFERROR(__xludf.DUMMYFUNCTION("IMPORTRANGE(""https://docs.google.com/spreadsheets/d/1C3CXT74ZlgGe6_JY_1olB1XN4rF0dxEuIIF-xsYjHgg/edit?usp=sharing"",""งบกองทุน!Ev72"")"),0)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IFERROR(__xludf.DUMMYFUNCTION("IMPORTRANGE(""https://docs.google.com/spreadsheets/d/1C3CXT74ZlgGe6_JY_1olB1XN4rF0dxEuIIF-xsYjHgg/edit?usp=sharing"",""งบกองทุน!Ew72"")"),4550)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IFERROR(__xludf.DUMMYFUNCTION("IMPORTRANGE(""https://docs.google.com/spreadsheets/d/1C3CXT74ZlgGe6_JY_1olB1XN4rF0dxEuIIF-xsYjHgg/edit?usp=sharing"",""งบกองทุน!EZ72"")"),50)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IFERROR(__xludf.DUMMYFUNCTION("IMPORTRANGE(""https://docs.google.com/spreadsheets/d/1C3CXT74ZlgGe6_JY_1olB1XN4rF0dxEuIIF-xsYjHgg/edit?usp=sharing"",""งบกองทุน!ff72"")"),0)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IFERROR(__xludf.DUMMYFUNCTION("IMPORTRANGE(""https://docs.google.com/spreadsheets/d/1muirlRDkqiswvy_NRZ3Yh955hx-PF6_HhssUYiSJj8o/edit?usp=sharing"",""กองทุน!D72"")"),2198052.65)</f>
        <v>2198052.65</v>
      </c>
      <c r="J521" s="199">
        <f ca="1">IFERROR(__xludf.DUMMYFUNCTION("IMPORTRANGE(""https://docs.google.com/spreadsheets/d/1muirlRDkqiswvy_NRZ3Yh955hx-PF6_HhssUYiSJj8o/edit?usp=sharing"",""กองทุน!F72"")"),16500)</f>
        <v>16500</v>
      </c>
      <c r="K521" s="200">
        <f t="shared" ref="K521:K528" ca="1" si="116">IF(I521&gt;0,J521*100/I521,0)</f>
        <v>0.75066445746875088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IFERROR(__xludf.DUMMYFUNCTION("IMPORTRANGE(""https://docs.google.com/spreadsheets/d/1muirlRDkqiswvy_NRZ3Yh955hx-PF6_HhssUYiSJj8o/edit?usp=sharing"",""กองทุน!C72"")"),144)</f>
        <v>144</v>
      </c>
      <c r="J522" s="199">
        <f ca="1">IFERROR(__xludf.DUMMYFUNCTION("IMPORTRANGE(""https://docs.google.com/spreadsheets/d/1muirlRDkqiswvy_NRZ3Yh955hx-PF6_HhssUYiSJj8o/edit?usp=sharing"",""กองทุน!E72"")"),1)</f>
        <v>1</v>
      </c>
      <c r="K522" s="200">
        <f t="shared" ca="1" si="116"/>
        <v>0.69444444444444442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IFERROR(__xludf.DUMMYFUNCTION("IMPORTRANGE(""https://docs.google.com/spreadsheets/d/1muirlRDkqiswvy_NRZ3Yh955hx-PF6_HhssUYiSJj8o/edit?usp=sharing"",""กองทุน!I72"")"),1625986.59)</f>
        <v>1625986.59</v>
      </c>
      <c r="J523" s="199">
        <f ca="1">IFERROR(__xludf.DUMMYFUNCTION("IMPORTRANGE(""https://docs.google.com/spreadsheets/d/1muirlRDkqiswvy_NRZ3Yh955hx-PF6_HhssUYiSJj8o/edit?usp=sharing"",""กองทุน!K72"")"),55709.08)</f>
        <v>55709.08</v>
      </c>
      <c r="K523" s="200">
        <f t="shared" ca="1" si="116"/>
        <v>3.4261709378550287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IFERROR(__xludf.DUMMYFUNCTION("IMPORTRANGE(""https://docs.google.com/spreadsheets/d/1muirlRDkqiswvy_NRZ3Yh955hx-PF6_HhssUYiSJj8o/edit?usp=sharing"",""กองทุน!H72"")"),52)</f>
        <v>52</v>
      </c>
      <c r="J524" s="199">
        <f ca="1">IFERROR(__xludf.DUMMYFUNCTION("IMPORTRANGE(""https://docs.google.com/spreadsheets/d/1muirlRDkqiswvy_NRZ3Yh955hx-PF6_HhssUYiSJj8o/edit?usp=sharing"",""กองทุน!J72"")"),6)</f>
        <v>6</v>
      </c>
      <c r="K524" s="200">
        <f t="shared" ca="1" si="116"/>
        <v>11.538461538461538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IFERROR(__xludf.DUMMYFUNCTION("IMPORTRANGE(""https://docs.google.com/spreadsheets/d/1muirlRDkqiswvy_NRZ3Yh955hx-PF6_HhssUYiSJj8o/edit?usp=sharing"",""กองทุน!N72"")"),0)</f>
        <v>0</v>
      </c>
      <c r="J525" s="199">
        <f ca="1">IFERROR(__xludf.DUMMYFUNCTION("IMPORTRANGE(""https://docs.google.com/spreadsheets/d/1muirlRDkqiswvy_NRZ3Yh955hx-PF6_HhssUYiSJj8o/edit?usp=sharing"",""กองทุน!P72"")"),0)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IFERROR(__xludf.DUMMYFUNCTION("IMPORTRANGE(""https://docs.google.com/spreadsheets/d/1muirlRDkqiswvy_NRZ3Yh955hx-PF6_HhssUYiSJj8o/edit?usp=sharing"",""กองทุน!M72"")"),0)</f>
        <v>0</v>
      </c>
      <c r="J526" s="199">
        <f ca="1">IFERROR(__xludf.DUMMYFUNCTION("IMPORTRANGE(""https://docs.google.com/spreadsheets/d/1muirlRDkqiswvy_NRZ3Yh955hx-PF6_HhssUYiSJj8o/edit?usp=sharing"",""กองทุน!O72"")"),0)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IFERROR(__xludf.DUMMYFUNCTION("IMPORTRANGE(""https://docs.google.com/spreadsheets/d/1muirlRDkqiswvy_NRZ3Yh955hx-PF6_HhssUYiSJj8o/edit?usp=sharing"",""กองทุน!S72"")"),1450000)</f>
        <v>1450000</v>
      </c>
      <c r="J527" s="199">
        <f ca="1">IFERROR(__xludf.DUMMYFUNCTION("IMPORTRANGE(""https://docs.google.com/spreadsheets/d/1muirlRDkqiswvy_NRZ3Yh955hx-PF6_HhssUYiSJj8o/edit?usp=sharing"",""กองทุน!U72"")"),0)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IFERROR(__xludf.DUMMYFUNCTION("IMPORTRANGE(""https://docs.google.com/spreadsheets/d/1muirlRDkqiswvy_NRZ3Yh955hx-PF6_HhssUYiSJj8o/edit?usp=sharing"",""กองทุน!R72"")"),29)</f>
        <v>29</v>
      </c>
      <c r="J528" s="324">
        <f ca="1">IFERROR(__xludf.DUMMYFUNCTION("IMPORTRANGE(""https://docs.google.com/spreadsheets/d/1muirlRDkqiswvy_NRZ3Yh955hx-PF6_HhssUYiSJj8o/edit?usp=sharing"",""กองทุน!T72"")"),0)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238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1320105</v>
      </c>
      <c r="M6" s="16">
        <f t="shared" si="0"/>
        <v>207223.77000000002</v>
      </c>
      <c r="N6" s="17">
        <f ca="1">IF(L6&gt;0,M6*100/L6,0)</f>
        <v>15.697521788039587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66"/>
      <c r="K12" s="232"/>
      <c r="L12" s="52">
        <f ca="1">IFERROR(__xludf.DUMMYFUNCTION("IMPORTRANGE(""https://docs.google.com/spreadsheets/d/1C3CXT74ZlgGe6_JY_1olB1XN4rF0dxEuIIF-xsYjHgg/edit?usp=sharing"",""พรบ!C73"")"),0)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IFERROR(__xludf.DUMMYFUNCTION("IMPORTRANGE(""https://docs.google.com/spreadsheets/d/1C3CXT74ZlgGe6_JY_1olB1XN4rF0dxEuIIF-xsYjHgg/edit?usp=sharing"",""พรบ!D73"")"),0)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IFERROR(__xludf.DUMMYFUNCTION("IMPORTRANGE(""https://docs.google.com/spreadsheets/d/1C3CXT74ZlgGe6_JY_1olB1XN4rF0dxEuIIF-xsYjHgg/edit?usp=sharing"",""พรบ!E73"")"),0)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IFERROR(__xludf.DUMMYFUNCTION("IMPORTRANGE(""https://docs.google.com/spreadsheets/d/1C3CXT74ZlgGe6_JY_1olB1XN4rF0dxEuIIF-xsYjHgg/edit?usp=sharing"",""พรบ!H73"")"),0)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IFERROR(__xludf.DUMMYFUNCTION("IMPORTRANGE(""https://docs.google.com/spreadsheets/d/1C3CXT74ZlgGe6_JY_1olB1XN4rF0dxEuIIF-xsYjHgg/edit?usp=sharing"",""พรบ!I73"")"),0)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IFERROR(__xludf.DUMMYFUNCTION("IMPORTRANGE(""https://docs.google.com/spreadsheets/d/1C3CXT74ZlgGe6_JY_1olB1XN4rF0dxEuIIF-xsYjHgg/edit?usp=sharing"",""พรบ!J73"")"),0)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IFERROR(__xludf.DUMMYFUNCTION("IMPORTRANGE(""https://docs.google.com/spreadsheets/d/1C3CXT74ZlgGe6_JY_1olB1XN4rF0dxEuIIF-xsYjHgg/edit?usp=sharing"",""พรบ!K73"")"),0)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IFERROR(__xludf.DUMMYFUNCTION("IMPORTRANGE(""https://docs.google.com/spreadsheets/d/1C3CXT74ZlgGe6_JY_1olB1XN4rF0dxEuIIF-xsYjHgg/edit?usp=sharing"",""พรบ!L73"")"),0)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IFERROR(__xludf.DUMMYFUNCTION("IMPORTRANGE(""https://docs.google.com/spreadsheets/d/1C3CXT74ZlgGe6_JY_1olB1XN4rF0dxEuIIF-xsYjHgg/edit?usp=sharing"",""พรบ!M73"")"),0)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IFERROR(__xludf.DUMMYFUNCTION("IMPORTRANGE(""https://docs.google.com/spreadsheets/d/1C3CXT74ZlgGe6_JY_1olB1XN4rF0dxEuIIF-xsYjHgg/edit?usp=sharing"",""พรบ!N73"")"),0)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6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131980</v>
      </c>
      <c r="M32" s="96">
        <f>SUM(M34:M35)</f>
        <v>32370</v>
      </c>
      <c r="N32" s="39">
        <f ca="1">IF(L32&gt;0,M32*100/L32,0)</f>
        <v>24.52644340051523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2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IFERROR(__xludf.DUMMYFUNCTION("IMPORTRANGE(""https://docs.google.com/spreadsheets/d/1C3CXT74ZlgGe6_JY_1olB1XN4rF0dxEuIIF-xsYjHgg/edit?usp=sharing"",""พรบ!O73"")"),131980)</f>
        <v>131980</v>
      </c>
      <c r="M35" s="49">
        <f>SUM(M36:M37)</f>
        <v>32370</v>
      </c>
      <c r="N35" s="49">
        <f t="shared" ca="1" si="10"/>
        <v>24.52644340051523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IFERROR(__xludf.DUMMYFUNCTION("IMPORTRANGE(""https://docs.google.com/spreadsheets/d/1C3CXT74ZlgGe6_JY_1olB1XN4rF0dxEuIIF-xsYjHgg/edit?usp=sharing"",""พรบ!P73"")"),0)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IFERROR(__xludf.DUMMYFUNCTION("IMPORTRANGE(""https://docs.google.com/spreadsheets/d/1C3CXT74ZlgGe6_JY_1olB1XN4rF0dxEuIIF-xsYjHgg/edit?usp=sharing"",""พรบ!Q73"")"),131980)</f>
        <v>131980</v>
      </c>
      <c r="M37" s="53">
        <v>32370</v>
      </c>
      <c r="N37" s="52">
        <f t="shared" ca="1" si="10"/>
        <v>24.52644340051523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IFERROR(__xludf.DUMMYFUNCTION("IMPORTRANGE(""https://docs.google.com/spreadsheets/d/1C3CXT74ZlgGe6_JY_1olB1XN4rF0dxEuIIF-xsYjHgg/edit?usp=sharing"",""พรบ!R73"")"),1)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IFERROR(__xludf.DUMMYFUNCTION("IMPORTRANGE(""https://docs.google.com/spreadsheets/d/1C3CXT74ZlgGe6_JY_1olB1XN4rF0dxEuIIF-xsYjHgg/edit?usp=sharing"",""พรบ!S73"")"),6)</f>
        <v>6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IFERROR(__xludf.DUMMYFUNCTION("IMPORTRANGE(""https://docs.google.com/spreadsheets/d/1C3CXT74ZlgGe6_JY_1olB1XN4rF0dxEuIIF-xsYjHgg/edit?usp=sharing"",""พรบ!T73"")"),6)</f>
        <v>6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IFERROR(__xludf.DUMMYFUNCTION("IMPORTRANGE(""https://docs.google.com/spreadsheets/d/1C3CXT74ZlgGe6_JY_1olB1XN4rF0dxEuIIF-xsYjHgg/edit?usp=sharing"",""พรบ!U73"")"),6)</f>
        <v>6</v>
      </c>
      <c r="J46" s="67">
        <v>6</v>
      </c>
      <c r="K46" s="48">
        <f t="shared" ca="1" si="11"/>
        <v>100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IFERROR(__xludf.DUMMYFUNCTION("IMPORTRANGE(""https://docs.google.com/spreadsheets/d/1C3CXT74ZlgGe6_JY_1olB1XN4rF0dxEuIIF-xsYjHgg/edit?usp=sharing"",""พรบ!V73"")"),6)</f>
        <v>6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IFERROR(__xludf.DUMMYFUNCTION("IMPORTRANGE(""https://docs.google.com/spreadsheets/d/1C3CXT74ZlgGe6_JY_1olB1XN4rF0dxEuIIF-xsYjHgg/edit?usp=sharing"",""พรบ!W73"")"),2)</f>
        <v>2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IFERROR(__xludf.DUMMYFUNCTION("IMPORTRANGE(""https://docs.google.com/spreadsheets/d/1C3CXT74ZlgGe6_JY_1olB1XN4rF0dxEuIIF-xsYjHgg/edit?usp=sharing"",""พรบ!Y73"")"),0)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IFERROR(__xludf.DUMMYFUNCTION("IMPORTRANGE(""https://docs.google.com/spreadsheets/d/1C3CXT74ZlgGe6_JY_1olB1XN4rF0dxEuIIF-xsYjHgg/edit?usp=sharing"",""พรบ!Z73"")"),0)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IFERROR(__xludf.DUMMYFUNCTION("IMPORTRANGE(""https://docs.google.com/spreadsheets/d/1C3CXT74ZlgGe6_JY_1olB1XN4rF0dxEuIIF-xsYjHgg/edit?usp=sharing"",""พรบ!AA73"")"),0)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58500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58500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IFERROR(__xludf.DUMMYFUNCTION("IMPORTRANGE(""https://docs.google.com/spreadsheets/d/1C3CXT74ZlgGe6_JY_1olB1XN4rF0dxEuIIF-xsYjHgg/edit?usp=sharing"",""พรบ!AD73"")"),0)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58500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IFERROR(__xludf.DUMMYFUNCTION("IMPORTRANGE(""https://docs.google.com/spreadsheets/d/1C3CXT74ZlgGe6_JY_1olB1XN4rF0dxEuIIF-xsYjHgg/edit?usp=sharing"",""พรบ!AF73"")"),7500)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IFERROR(__xludf.DUMMYFUNCTION("IMPORTRANGE(""https://docs.google.com/spreadsheets/d/1C3CXT74ZlgGe6_JY_1olB1XN4rF0dxEuIIF-xsYjHgg/edit?usp=sharing"",""พรบ!AG73"")"),4)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IFERROR(__xludf.DUMMYFUNCTION("IMPORTRANGE(""https://docs.google.com/spreadsheets/d/1C3CXT74ZlgGe6_JY_1olB1XN4rF0dxEuIIF-xsYjHgg/edit?usp=sharing"",""พรบ!AH73"")"),42000)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IFERROR(__xludf.DUMMYFUNCTION("IMPORTRANGE(""https://docs.google.com/spreadsheets/d/1C3CXT74ZlgGe6_JY_1olB1XN4rF0dxEuIIF-xsYjHgg/edit?usp=sharing"",""พรบ!AI73"")"),3)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IFERROR(__xludf.DUMMYFUNCTION("IMPORTRANGE(""https://docs.google.com/spreadsheets/d/1C3CXT74ZlgGe6_JY_1olB1XN4rF0dxEuIIF-xsYjHgg/edit?usp=sharing"",""กปร!C73"")"),36000)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IFERROR(__xludf.DUMMYFUNCTION("IMPORTRANGE(""https://docs.google.com/spreadsheets/d/1C3CXT74ZlgGe6_JY_1olB1XN4rF0dxEuIIF-xsYjHgg/edit?usp=sharing"",""พรบ!AJ73"")"),0)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IFERROR(__xludf.DUMMYFUNCTION("IMPORTRANGE(""https://docs.google.com/spreadsheets/d/1C3CXT74ZlgGe6_JY_1olB1XN4rF0dxEuIIF-xsYjHgg/edit?usp=sharing"",""พรบ!AK73"")"),0)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IFERROR(__xludf.DUMMYFUNCTION("IMPORTRANGE(""https://docs.google.com/spreadsheets/d/1C3CXT74ZlgGe6_JY_1olB1XN4rF0dxEuIIF-xsYjHgg/edit?usp=sharing"",""กปร!D73"")"),0)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IFERROR(__xludf.DUMMYFUNCTION("IMPORTRANGE(""https://docs.google.com/spreadsheets/d/1C3CXT74ZlgGe6_JY_1olB1XN4rF0dxEuIIF-xsYjHgg/edit?usp=sharing"",""พรบ!AL73"")"),0)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IFERROR(__xludf.DUMMYFUNCTION("IMPORTRANGE(""https://docs.google.com/spreadsheets/d/1C3CXT74ZlgGe6_JY_1olB1XN4rF0dxEuIIF-xsYjHgg/edit?usp=sharing"",""กปร!E73"")"),0)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IFERROR(__xludf.DUMMYFUNCTION("IMPORTRANGE(""https://docs.google.com/spreadsheets/d/1C3CXT74ZlgGe6_JY_1olB1XN4rF0dxEuIIF-xsYjHgg/edit?usp=sharing"",""พรบ!AM73"")"),9000)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IFERROR(__xludf.DUMMYFUNCTION("IMPORTRANGE(""https://docs.google.com/spreadsheets/d/1C3CXT74ZlgGe6_JY_1olB1XN4rF0dxEuIIF-xsYjHgg/edit?usp=sharing"",""พรบ!AO73"")"),20000)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IFERROR(__xludf.DUMMYFUNCTION("IMPORTRANGE(""https://docs.google.com/spreadsheets/d/1C3CXT74ZlgGe6_JY_1olB1XN4rF0dxEuIIF-xsYjHgg/edit?usp=sharing"",""พรบ!AP73"")"),20000)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IFERROR(__xludf.DUMMYFUNCTION("IMPORTRANGE(""https://docs.google.com/spreadsheets/d/1C3CXT74ZlgGe6_JY_1olB1XN4rF0dxEuIIF-xsYjHgg/edit?usp=sharing"",""กปร!F73"")"),5000)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IFERROR(__xludf.DUMMYFUNCTION("IMPORTRANGE(""https://docs.google.com/spreadsheets/d/1C3CXT74ZlgGe6_JY_1olB1XN4rF0dxEuIIF-xsYjHgg/edit?usp=sharing"",""พรบ!AQ73"")"),0)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IFERROR(__xludf.DUMMYFUNCTION("IMPORTRANGE(""https://docs.google.com/spreadsheets/d/1C3CXT74ZlgGe6_JY_1olB1XN4rF0dxEuIIF-xsYjHgg/edit?usp=sharing"",""กปร!G73"")"),0)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IFERROR(__xludf.DUMMYFUNCTION("IMPORTRANGE(""https://docs.google.com/spreadsheets/d/1C3CXT74ZlgGe6_JY_1olB1XN4rF0dxEuIIF-xsYjHgg/edit?usp=sharing"",""พรบ!AR73"")"),0)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IFERROR(__xludf.DUMMYFUNCTION("IMPORTRANGE(""https://docs.google.com/spreadsheets/d/1C3CXT74ZlgGe6_JY_1olB1XN4rF0dxEuIIF-xsYjHgg/edit?usp=sharing"",""พรบ!AS73"")"),0)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IFERROR(__xludf.DUMMYFUNCTION("IMPORTRANGE(""https://docs.google.com/spreadsheets/d/1C3CXT74ZlgGe6_JY_1olB1XN4rF0dxEuIIF-xsYjHgg/edit?usp=sharing"",""กปร!H73"")"),0)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IFERROR(__xludf.DUMMYFUNCTION("IMPORTRANGE(""https://docs.google.com/spreadsheets/d/1C3CXT74ZlgGe6_JY_1olB1XN4rF0dxEuIIF-xsYjHgg/edit?usp=sharing"",""พรบ!AT73"")"),0)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IFERROR(__xludf.DUMMYFUNCTION("IMPORTRANGE(""https://docs.google.com/spreadsheets/d/1C3CXT74ZlgGe6_JY_1olB1XN4rF0dxEuIIF-xsYjHgg/edit?usp=sharing"",""กปร!I73"")"),0)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IFERROR(__xludf.DUMMYFUNCTION("IMPORTRANGE(""https://docs.google.com/spreadsheets/d/1C3CXT74ZlgGe6_JY_1olB1XN4rF0dxEuIIF-xsYjHgg/edit?usp=sharing"",""พรบ!AU73"")"),0)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IFERROR(__xludf.DUMMYFUNCTION("IMPORTRANGE(""https://docs.google.com/spreadsheets/d/1C3CXT74ZlgGe6_JY_1olB1XN4rF0dxEuIIF-xsYjHgg/edit?usp=sharing"",""กปร!J73"")"),0)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IFERROR(__xludf.DUMMYFUNCTION("IMPORTRANGE(""https://docs.google.com/spreadsheets/d/1C3CXT74ZlgGe6_JY_1olB1XN4rF0dxEuIIF-xsYjHgg/edit?usp=sharing"",""พรบ!AY73"")"),21125)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IFERROR(__xludf.DUMMYFUNCTION("IMPORTRANGE(""https://docs.google.com/spreadsheets/d/1C3CXT74ZlgGe6_JY_1olB1XN4rF0dxEuIIF-xsYjHgg/edit?usp=sharing"",""พรบ!BA73"")"),15)</f>
        <v>15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66"/>
      <c r="K171" s="232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IFERROR(__xludf.DUMMYFUNCTION("IMPORTRANGE(""https://docs.google.com/spreadsheets/d/1C3CXT74ZlgGe6_JY_1olB1XN4rF0dxEuIIF-xsYjHgg/edit?usp=sharing"",""พรบ!BD73"")"),0)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IFERROR(__xludf.DUMMYFUNCTION("IMPORTRANGE(""https://docs.google.com/spreadsheets/d/1C3CXT74ZlgGe6_JY_1olB1XN4rF0dxEuIIF-xsYjHgg/edit?usp=sharing"",""พรบ!BE73"")"),0)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IFERROR(__xludf.DUMMYFUNCTION("IMPORTRANGE(""https://docs.google.com/spreadsheets/d/1C3CXT74ZlgGe6_JY_1olB1XN4rF0dxEuIIF-xsYjHgg/edit?usp=sharing"",""พรบ!BF73"")"),0)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IFERROR(__xludf.DUMMYFUNCTION("IMPORTRANGE(""https://docs.google.com/spreadsheets/d/1C3CXT74ZlgGe6_JY_1olB1XN4rF0dxEuIIF-xsYjHgg/edit?usp=sharing"",""พรบ!BG73"")"),0)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IFERROR(__xludf.DUMMYFUNCTION("IMPORTRANGE(""https://docs.google.com/spreadsheets/d/1C3CXT74ZlgGe6_JY_1olB1XN4rF0dxEuIIF-xsYjHgg/edit?usp=sharing"",""พรบ!BH73"")"),0)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IFERROR(__xludf.DUMMYFUNCTION("IMPORTRANGE(""https://docs.google.com/spreadsheets/d/1C3CXT74ZlgGe6_JY_1olB1XN4rF0dxEuIIF-xsYjHgg/edit?usp=sharing"",""พรบ!BI73"")"),0)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187200</v>
      </c>
      <c r="M185" s="179">
        <f>SUM(M186:M187)</f>
        <v>45060</v>
      </c>
      <c r="N185" s="178">
        <f ca="1">IF(L185&gt;0,M185*100/L185,0)</f>
        <v>24.070512820512821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187200</v>
      </c>
      <c r="M187" s="49">
        <f t="shared" si="43"/>
        <v>45060</v>
      </c>
      <c r="N187" s="49">
        <f t="shared" ca="1" si="42"/>
        <v>24.070512820512821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IFERROR(__xludf.DUMMYFUNCTION("IMPORTRANGE(""https://docs.google.com/spreadsheets/d/1C3CXT74ZlgGe6_JY_1olB1XN4rF0dxEuIIF-xsYjHgg/edit?usp=sharing"",""พรบ!BK73"")"),132000)</f>
        <v>132000</v>
      </c>
      <c r="M188" s="53">
        <v>21000</v>
      </c>
      <c r="N188" s="52">
        <f t="shared" ca="1" si="42"/>
        <v>15.909090909090908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IFERROR(__xludf.DUMMYFUNCTION("IMPORTRANGE(""https://docs.google.com/spreadsheets/d/1C3CXT74ZlgGe6_JY_1olB1XN4rF0dxEuIIF-xsYjHgg/edit?usp=sharing"",""พรบ!BL73"")"),55200)</f>
        <v>55200</v>
      </c>
      <c r="M189" s="53">
        <v>24060</v>
      </c>
      <c r="N189" s="52">
        <f t="shared" ca="1" si="42"/>
        <v>43.586956521739133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IFERROR(__xludf.DUMMYFUNCTION("IMPORTRANGE(""https://docs.google.com/spreadsheets/d/1C3CXT74ZlgGe6_JY_1olB1XN4rF0dxEuIIF-xsYjHgg/edit?usp=sharing"",""พรบ!BM73"")"),15)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IFERROR(__xludf.DUMMYFUNCTION("IMPORTRANGE(""https://docs.google.com/spreadsheets/d/1C3CXT74ZlgGe6_JY_1olB1XN4rF0dxEuIIF-xsYjHgg/edit?usp=sharing"",""พรบ!BP73"")"),0)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IFERROR(__xludf.DUMMYFUNCTION("IMPORTRANGE(""https://docs.google.com/spreadsheets/d/1C3CXT74ZlgGe6_JY_1olB1XN4rF0dxEuIIF-xsYjHgg/edit?usp=sharing"",""พรบ!BQ73"")"),0)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IFERROR(__xludf.DUMMYFUNCTION("IMPORTRANGE(""https://docs.google.com/spreadsheets/d/1C3CXT74ZlgGe6_JY_1olB1XN4rF0dxEuIIF-xsYjHgg/edit?usp=sharing"",""พรบ!BR73"")"),0)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IFERROR(__xludf.DUMMYFUNCTION("IMPORTRANGE(""https://docs.google.com/spreadsheets/d/1C3CXT74ZlgGe6_JY_1olB1XN4rF0dxEuIIF-xsYjHgg/edit?usp=sharing"",""พรบ!BU73"")"),0)</f>
        <v>0</v>
      </c>
      <c r="M218" s="53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IFERROR(__xludf.DUMMYFUNCTION("IMPORTRANGE(""https://docs.google.com/spreadsheets/d/1C3CXT74ZlgGe6_JY_1olB1XN4rF0dxEuIIF-xsYjHgg/edit?usp=sharing"",""พรบ!BV73"")"),0)</f>
        <v>0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220</v>
      </c>
      <c r="J228" s="197">
        <f ca="1">J240</f>
        <v>25</v>
      </c>
      <c r="K228" s="178">
        <f ca="1">IF(I228&gt;0,J228*100/I228,0)</f>
        <v>11.363636363636363</v>
      </c>
      <c r="L228" s="179">
        <f ca="1">L229+L230</f>
        <v>921300</v>
      </c>
      <c r="M228" s="179">
        <f>SUM(M229:M230)</f>
        <v>129793.77</v>
      </c>
      <c r="N228" s="178">
        <f ca="1">IF(L228&gt;0,M228*100/L228,0)</f>
        <v>14.088111364376424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921300</v>
      </c>
      <c r="M230" s="52">
        <f t="shared" si="51"/>
        <v>129793.77</v>
      </c>
      <c r="N230" s="52">
        <f t="shared" ca="1" si="50"/>
        <v>14.088111364376424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IFERROR(__xludf.DUMMYFUNCTION("IMPORTRANGE(""https://docs.google.com/spreadsheets/d/1C3CXT74ZlgGe6_JY_1olB1XN4rF0dxEuIIF-xsYjHgg/edit?usp=sharing"",""พรบ!BX73"")"),564000)</f>
        <v>564000</v>
      </c>
      <c r="M231" s="53">
        <v>70511.55</v>
      </c>
      <c r="N231" s="52">
        <f t="shared" ca="1" si="50"/>
        <v>12.502047872340425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IFERROR(__xludf.DUMMYFUNCTION("IMPORTRANGE(""https://docs.google.com/spreadsheets/d/1C3CXT74ZlgGe6_JY_1olB1XN4rF0dxEuIIF-xsYjHgg/edit?usp=sharing"",""พรบ!BY73"")"),357300)</f>
        <v>357300</v>
      </c>
      <c r="M232" s="53">
        <v>59282.22</v>
      </c>
      <c r="N232" s="52">
        <f t="shared" ca="1" si="50"/>
        <v>16.591721242653232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IFERROR(__xludf.DUMMYFUNCTION("IMPORTRANGE(""https://docs.google.com/spreadsheets/d/1AGHcLOeeYFL3K4b9R1dSzyJy00PE_ra89DNTVfnxSWM/edit?usp=sharing"",""รวมที่ทำกิน!J62"")"),1)</f>
        <v>1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IFERROR(__xludf.DUMMYFUNCTION("IMPORTRANGE(""https://docs.google.com/spreadsheets/d/1C3CXT74ZlgGe6_JY_1olB1XN4rF0dxEuIIF-xsYjHgg/edit?usp=sharing"",""พรบ!BZ73"")"),2000)</f>
        <v>2000</v>
      </c>
      <c r="J235" s="66">
        <f ca="1">IFERROR(__xludf.DUMMYFUNCTION("IMPORTRANGE(""https://docs.google.com/spreadsheets/d/1AGHcLOeeYFL3K4b9R1dSzyJy00PE_ra89DNTVfnxSWM/edit?usp=sharing"",""รวมที่ทำกิน!L62"")"),6.94)</f>
        <v>6.94</v>
      </c>
      <c r="K235" s="200">
        <f t="shared" ca="1" si="52"/>
        <v>0.34699999999999998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IFERROR(__xludf.DUMMYFUNCTION("IMPORTRANGE(""https://docs.google.com/spreadsheets/d/1C3CXT74ZlgGe6_JY_1olB1XN4rF0dxEuIIF-xsYjHgg/edit?usp=sharing"",""พรบ!CA73"")"),220)</f>
        <v>220</v>
      </c>
      <c r="J236" s="66">
        <f ca="1">IFERROR(__xludf.DUMMYFUNCTION("IMPORTRANGE(""https://docs.google.com/spreadsheets/d/1AGHcLOeeYFL3K4b9R1dSzyJy00PE_ra89DNTVfnxSWM/edit?usp=sharing"",""รวมที่ทำกิน!O62"")"),25)</f>
        <v>25</v>
      </c>
      <c r="K236" s="200">
        <f t="shared" ca="1" si="52"/>
        <v>11.363636363636363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IFERROR(__xludf.DUMMYFUNCTION("IMPORTRANGE(""https://docs.google.com/spreadsheets/d/1AGHcLOeeYFL3K4b9R1dSzyJy00PE_ra89DNTVfnxSWM/edit?usp=sharing"",""รวมที่ทำกิน!Q62"")"),231.41)</f>
        <v>231.41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IFERROR(__xludf.DUMMYFUNCTION("IMPORTRANGE(""https://docs.google.com/spreadsheets/d/1C3CXT74ZlgGe6_JY_1olB1XN4rF0dxEuIIF-xsYjHgg/edit?usp=sharing"",""พรบ!CB73"")"),220)</f>
        <v>220</v>
      </c>
      <c r="J238" s="66">
        <f ca="1">IFERROR(__xludf.DUMMYFUNCTION("IMPORTRANGE(""https://docs.google.com/spreadsheets/d/1AGHcLOeeYFL3K4b9R1dSzyJy00PE_ra89DNTVfnxSWM/edit?usp=sharing"",""รวมที่ทำกิน!S62"")"),0)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IFERROR(__xludf.DUMMYFUNCTION("IMPORTRANGE(""https://docs.google.com/spreadsheets/d/1AGHcLOeeYFL3K4b9R1dSzyJy00PE_ra89DNTVfnxSWM/edit?usp=sharing"",""รวมที่ทำกิน!U62"")"),0)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IFERROR(__xludf.DUMMYFUNCTION("IMPORTRANGE(""https://docs.google.com/spreadsheets/d/1C3CXT74ZlgGe6_JY_1olB1XN4rF0dxEuIIF-xsYjHgg/edit?usp=sharing"",""พรบ!CC73"")"),220)</f>
        <v>220</v>
      </c>
      <c r="J240" s="66">
        <f ca="1">IFERROR(__xludf.DUMMYFUNCTION("IMPORTRANGE(""https://docs.google.com/spreadsheets/d/1AGHcLOeeYFL3K4b9R1dSzyJy00PE_ra89DNTVfnxSWM/edit?usp=sharing"",""รวมที่ทำกิน!W62"")"),25)</f>
        <v>25</v>
      </c>
      <c r="K240" s="200">
        <f t="shared" ca="1" si="52"/>
        <v>11.363636363636363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IFERROR(__xludf.DUMMYFUNCTION("IMPORTRANGE(""https://docs.google.com/spreadsheets/d/1AGHcLOeeYFL3K4b9R1dSzyJy00PE_ra89DNTVfnxSWM/edit?usp=sharing"",""รวมที่ทำกิน!Y62"")"),231.41)</f>
        <v>231.41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1595132</v>
      </c>
      <c r="M242" s="213">
        <f t="shared" si="53"/>
        <v>71976.25</v>
      </c>
      <c r="N242" s="213">
        <f ca="1">+IF(L242&gt;0,M242*100/L242,0)</f>
        <v>4.5122441277587058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IFERROR(__xludf.DUMMYFUNCTION("IMPORTRANGE(""https://docs.google.com/spreadsheets/d/1C3CXT74ZlgGe6_JY_1olB1XN4rF0dxEuIIF-xsYjHgg/edit?usp=sharing"",""งบกองทุน!d73"")"),0)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66"/>
      <c r="K249" s="232"/>
      <c r="L249" s="52">
        <f ca="1">IFERROR(__xludf.DUMMYFUNCTION("IMPORTRANGE(""https://docs.google.com/spreadsheets/d/1C3CXT74ZlgGe6_JY_1olB1XN4rF0dxEuIIF-xsYjHgg/edit?usp=sharing"",""งบกองทุน!e73"")"),0)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IFERROR(__xludf.DUMMYFUNCTION("IMPORTRANGE(""https://docs.google.com/spreadsheets/d/1C3CXT74ZlgGe6_JY_1olB1XN4rF0dxEuIIF-xsYjHgg/edit?usp=sharing"",""งบกองทุน!f73"")"),0)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IFERROR(__xludf.DUMMYFUNCTION("IMPORTRANGE(""https://docs.google.com/spreadsheets/d/1C3CXT74ZlgGe6_JY_1olB1XN4rF0dxEuIIF-xsYjHgg/edit?usp=sharing"",""งบกองทุน!H73"")"),0)</f>
        <v>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IFERROR(__xludf.DUMMYFUNCTION("IMPORTRANGE(""https://docs.google.com/spreadsheets/d/1C3CXT74ZlgGe6_JY_1olB1XN4rF0dxEuIIF-xsYjHgg/edit?usp=sharing"",""งบกองทุน!i73"")"),0)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IFERROR(__xludf.DUMMYFUNCTION("IMPORTRANGE(""https://docs.google.com/spreadsheets/d/1C3CXT74ZlgGe6_JY_1olB1XN4rF0dxEuIIF-xsYjHgg/edit?usp=sharing"",""งบกองทุน!k73"")"),0)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IFERROR(__xludf.DUMMYFUNCTION("IMPORTRANGE(""https://docs.google.com/spreadsheets/d/1C3CXT74ZlgGe6_JY_1olB1XN4rF0dxEuIIF-xsYjHgg/edit?usp=sharing"",""งบกองทุน!m73"")"),0)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IFERROR(__xludf.DUMMYFUNCTION("IMPORTRANGE(""https://docs.google.com/spreadsheets/d/1C3CXT74ZlgGe6_JY_1olB1XN4rF0dxEuIIF-xsYjHgg/edit?usp=sharing"",""งบกองทุน!o73"")"),0)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IFERROR(__xludf.DUMMYFUNCTION("IMPORTRANGE(""https://docs.google.com/spreadsheets/d/1C3CXT74ZlgGe6_JY_1olB1XN4rF0dxEuIIF-xsYjHgg/edit?usp=sharing"",""งบกองทุน!p73"")"),0)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32559.4</v>
      </c>
      <c r="N275" s="228">
        <f ca="1">+IF(L275&gt;0,M275*100/L275,0)</f>
        <v>3.1656555049974719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100</v>
      </c>
      <c r="K276" s="227">
        <f t="shared" ca="1" si="63"/>
        <v>100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32559.4</v>
      </c>
      <c r="N278" s="49">
        <f t="shared" ca="1" si="65"/>
        <v>3.1656555049974719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IFERROR(__xludf.DUMMYFUNCTION("IMPORTRANGE(""https://docs.google.com/spreadsheets/d/1C3CXT74ZlgGe6_JY_1olB1XN4rF0dxEuIIF-xsYjHgg/edit?usp=sharing"",""งบกองทุน!r73"")"),0)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IFERROR(__xludf.DUMMYFUNCTION("IMPORTRANGE(""https://docs.google.com/spreadsheets/d/1C3CXT74ZlgGe6_JY_1olB1XN4rF0dxEuIIF-xsYjHgg/edit?usp=sharing"",""งบกองทุน!s73"")"),1028520)</f>
        <v>1028520</v>
      </c>
      <c r="M280" s="52">
        <f>SUM(M281:M284)</f>
        <v>32559.4</v>
      </c>
      <c r="N280" s="52">
        <f t="shared" ca="1" si="65"/>
        <v>3.1656555049974719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32559.4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IFERROR(__xludf.DUMMYFUNCTION("IMPORTRANGE(""https://docs.google.com/spreadsheets/d/1C3CXT74ZlgGe6_JY_1olB1XN4rF0dxEuIIF-xsYjHgg/edit?usp=sharing"",""งบกองทุน!v73"")"),100)</f>
        <v>100</v>
      </c>
      <c r="J291" s="67">
        <v>100</v>
      </c>
      <c r="K291" s="48">
        <f t="shared" ref="K291:K293" ca="1" si="67">IF(I291&gt;0,J291*100/I291,0)</f>
        <v>100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IFERROR(__xludf.DUMMYFUNCTION("IMPORTRANGE(""https://docs.google.com/spreadsheets/d/1C3CXT74ZlgGe6_JY_1olB1XN4rF0dxEuIIF-xsYjHgg/edit?usp=sharing"",""งบกองทุน!w73"")"),1000)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IFERROR(__xludf.DUMMYFUNCTION("IMPORTRANGE(""https://docs.google.com/spreadsheets/d/1C3CXT74ZlgGe6_JY_1olB1XN4rF0dxEuIIF-xsYjHgg/edit?usp=sharing"",""งบกองทุน!x73"")"),100)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195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226530</v>
      </c>
      <c r="M296" s="228">
        <f t="shared" si="69"/>
        <v>500</v>
      </c>
      <c r="N296" s="228">
        <f ca="1">+IF(L296&gt;0,M296*100/L296,0)</f>
        <v>0.22072131726482144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65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226530</v>
      </c>
      <c r="M299" s="52">
        <f t="shared" si="71"/>
        <v>500</v>
      </c>
      <c r="N299" s="52">
        <f t="shared" ca="1" si="70"/>
        <v>0.22072131726482144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IFERROR(__xludf.DUMMYFUNCTION("IMPORTRANGE(""https://docs.google.com/spreadsheets/d/1C3CXT74ZlgGe6_JY_1olB1XN4rF0dxEuIIF-xsYjHgg/edit?usp=sharing"",""งบกองทุน!z73"")"),0)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IFERROR(__xludf.DUMMYFUNCTION("IMPORTRANGE(""https://docs.google.com/spreadsheets/d/1C3CXT74ZlgGe6_JY_1olB1XN4rF0dxEuIIF-xsYjHgg/edit?usp=sharing"",""งบกองทุน!aa73"")"),226530)</f>
        <v>226530</v>
      </c>
      <c r="M301" s="52">
        <f>SUM(M302:M305)</f>
        <v>500</v>
      </c>
      <c r="N301" s="52">
        <f t="shared" ca="1" si="70"/>
        <v>0.22072131726482144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500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65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IFERROR(__xludf.DUMMYFUNCTION("IMPORTRANGE(""https://docs.google.com/spreadsheets/d/1C3CXT74ZlgGe6_JY_1olB1XN4rF0dxEuIIF-xsYjHgg/edit?usp=sharing"",""งบกองทุน!ae73"")"),30)</f>
        <v>30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IFERROR(__xludf.DUMMYFUNCTION("IMPORTRANGE(""https://docs.google.com/spreadsheets/d/1C3CXT74ZlgGe6_JY_1olB1XN4rF0dxEuIIF-xsYjHgg/edit?usp=sharing"",""งบกองทุน!ad73"")"),90)</f>
        <v>90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IFERROR(__xludf.DUMMYFUNCTION("IMPORTRANGE(""https://docs.google.com/spreadsheets/d/1C3CXT74ZlgGe6_JY_1olB1XN4rF0dxEuIIF-xsYjHgg/edit?usp=sharing"",""งบกองทุน!af73"")"),30)</f>
        <v>30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IFERROR(__xludf.DUMMYFUNCTION("IMPORTRANGE(""https://docs.google.com/spreadsheets/d/1C3CXT74ZlgGe6_JY_1olB1XN4rF0dxEuIIF-xsYjHgg/edit?usp=sharing"",""งบกองทุน!ag73"")"),30)</f>
        <v>30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IFERROR(__xludf.DUMMYFUNCTION("IMPORTRANGE(""https://docs.google.com/spreadsheets/d/1C3CXT74ZlgGe6_JY_1olB1XN4rF0dxEuIIF-xsYjHgg/edit?usp=sharing"",""งบกองทุน!ai73"")"),25)</f>
        <v>25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IFERROR(__xludf.DUMMYFUNCTION("IMPORTRANGE(""https://docs.google.com/spreadsheets/d/1C3CXT74ZlgGe6_JY_1olB1XN4rF0dxEuIIF-xsYjHgg/edit?usp=sharing"",""งบกองทุน!ah73"")"),75)</f>
        <v>75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IFERROR(__xludf.DUMMYFUNCTION("IMPORTRANGE(""https://docs.google.com/spreadsheets/d/1C3CXT74ZlgGe6_JY_1olB1XN4rF0dxEuIIF-xsYjHgg/edit?usp=sharing"",""งบกองทุน!aj73"")"),25)</f>
        <v>25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IFERROR(__xludf.DUMMYFUNCTION("IMPORTRANGE(""https://docs.google.com/spreadsheets/d/1C3CXT74ZlgGe6_JY_1olB1XN4rF0dxEuIIF-xsYjHgg/edit?usp=sharing"",""งบกองทุน!ak73"")"),25)</f>
        <v>25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IFERROR(__xludf.DUMMYFUNCTION("IMPORTRANGE(""https://docs.google.com/spreadsheets/d/1C3CXT74ZlgGe6_JY_1olB1XN4rF0dxEuIIF-xsYjHgg/edit?usp=sharing"",""งบกองทุน!al73"")"),25)</f>
        <v>25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IFERROR(__xludf.DUMMYFUNCTION("IMPORTRANGE(""https://docs.google.com/spreadsheets/d/1C3CXT74ZlgGe6_JY_1olB1XN4rF0dxEuIIF-xsYjHgg/edit?usp=sharing"",""งบกองทุน!an73"")"),10)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IFERROR(__xludf.DUMMYFUNCTION("IMPORTRANGE(""https://docs.google.com/spreadsheets/d/1C3CXT74ZlgGe6_JY_1olB1XN4rF0dxEuIIF-xsYjHgg/edit?usp=sharing"",""งบกองทุน!am73"")"),30)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IFERROR(__xludf.DUMMYFUNCTION("IMPORTRANGE(""https://docs.google.com/spreadsheets/d/1C3CXT74ZlgGe6_JY_1olB1XN4rF0dxEuIIF-xsYjHgg/edit?usp=sharing"",""งบกองทุน!ao73"")"),10)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IFERROR(__xludf.DUMMYFUNCTION("IMPORTRANGE(""https://docs.google.com/spreadsheets/d/1C3CXT74ZlgGe6_JY_1olB1XN4rF0dxEuIIF-xsYjHgg/edit?usp=sharing"",""งบกองทุน!ap73"")"),10)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55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IFERROR(__xludf.DUMMYFUNCTION("IMPORTRANGE(""https://docs.google.com/spreadsheets/d/1C3CXT74ZlgGe6_JY_1olB1XN4rF0dxEuIIF-xsYjHgg/edit?usp=sharing"",""งบกองทุน!ar73"")"),30)</f>
        <v>30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IFERROR(__xludf.DUMMYFUNCTION("IMPORTRANGE(""https://docs.google.com/spreadsheets/d/1C3CXT74ZlgGe6_JY_1olB1XN4rF0dxEuIIF-xsYjHgg/edit?usp=sharing"",""งบกองทุน!as73"")"),25)</f>
        <v>25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IFERROR(__xludf.DUMMYFUNCTION("IMPORTRANGE(""https://docs.google.com/spreadsheets/d/1C3CXT74ZlgGe6_JY_1olB1XN4rF0dxEuIIF-xsYjHgg/edit?usp=sharing"",""งบกองทุน!au73"")"),0)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IFERROR(__xludf.DUMMYFUNCTION("IMPORTRANGE(""https://docs.google.com/spreadsheets/d/1C3CXT74ZlgGe6_JY_1olB1XN4rF0dxEuIIF-xsYjHgg/edit?usp=sharing"",""งบกองทุน!av73"")"),95000)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20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IFERROR(__xludf.DUMMYFUNCTION("IMPORTRANGE(""https://docs.google.com/spreadsheets/d/1C3CXT74ZlgGe6_JY_1olB1XN4rF0dxEuIIF-xsYjHgg/edit?usp=sharing"",""งบกองทุน!ay73"")"),20)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IFERROR(__xludf.DUMMYFUNCTION("IMPORTRANGE(""https://docs.google.com/spreadsheets/d/1C3CXT74ZlgGe6_JY_1olB1XN4rF0dxEuIIF-xsYjHgg/edit?usp=sharing"",""งบกองทุน!az73"")"),0)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IFERROR(__xludf.DUMMYFUNCTION("IMPORTRANGE(""https://docs.google.com/spreadsheets/d/1C3CXT74ZlgGe6_JY_1olB1XN4rF0dxEuIIF-xsYjHgg/edit?usp=sharing"",""งบกองทุน!Ba73"")"),0)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79312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79312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IFERROR(__xludf.DUMMYFUNCTION("IMPORTRANGE(""https://docs.google.com/spreadsheets/d/1C3CXT74ZlgGe6_JY_1olB1XN4rF0dxEuIIF-xsYjHgg/edit?usp=sharing"",""งบกองทุน!Bc73"")"),0)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IFERROR(__xludf.DUMMYFUNCTION("IMPORTRANGE(""https://docs.google.com/spreadsheets/d/1C3CXT74ZlgGe6_JY_1olB1XN4rF0dxEuIIF-xsYjHgg/edit?usp=sharing"",""งบกองทุน!Bd73"")"),79312)</f>
        <v>79312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IFERROR(__xludf.DUMMYFUNCTION("IMPORTRANGE(""https://docs.google.com/spreadsheets/d/1C3CXT74ZlgGe6_JY_1olB1XN4rF0dxEuIIF-xsYjHgg/edit?usp=sharing"",""งบกองทุน!BE73"")"),0)</f>
        <v>0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IFERROR(__xludf.DUMMYFUNCTION("IMPORTRANGE(""https://docs.google.com/spreadsheets/d/1C3CXT74ZlgGe6_JY_1olB1XN4rF0dxEuIIF-xsYjHgg/edit?usp=sharing"",""งบกองทุน!BE73"")"),0)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IFERROR(__xludf.DUMMYFUNCTION("IMPORTRANGE(""https://docs.google.com/spreadsheets/d/1C3CXT74ZlgGe6_JY_1olB1XN4rF0dxEuIIF-xsYjHgg/edit?usp=sharing"",""งบกองทุน!Bf73"")"),0)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ca="1">I361</f>
        <v>0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IFERROR(__xludf.DUMMYFUNCTION("IMPORTRANGE(""https://docs.google.com/spreadsheets/d/1C3CXT74ZlgGe6_JY_1olB1XN4rF0dxEuIIF-xsYjHgg/edit?usp=sharing"",""งบกองทุน!cd73"")"),1935)</f>
        <v>1935</v>
      </c>
      <c r="J390" s="136">
        <f>J391</f>
        <v>201</v>
      </c>
      <c r="K390" s="137">
        <f t="shared" ca="1" si="82"/>
        <v>10.387596899224807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IFERROR(__xludf.DUMMYFUNCTION("IMPORTRANGE(""https://docs.google.com/spreadsheets/d/1C3CXT74ZlgGe6_JY_1olB1XN4rF0dxEuIIF-xsYjHgg/edit?usp=sharing"",""งบกองทุน!cd73"")"),1935)</f>
        <v>1935</v>
      </c>
      <c r="J391" s="265">
        <f t="shared" ref="J391:J392" si="87">J393+J401+J407</f>
        <v>201</v>
      </c>
      <c r="K391" s="48">
        <f t="shared" ca="1" si="82"/>
        <v>10.387596899224807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IFERROR(__xludf.DUMMYFUNCTION("IMPORTRANGE(""https://docs.google.com/spreadsheets/d/1C3CXT74ZlgGe6_JY_1olB1XN4rF0dxEuIIF-xsYjHgg/edit?usp=sharing"",""งบกองทุน!cc73"")"),129)</f>
        <v>129</v>
      </c>
      <c r="J392" s="265">
        <f t="shared" si="87"/>
        <v>12</v>
      </c>
      <c r="K392" s="79">
        <f t="shared" ca="1" si="82"/>
        <v>9.3023255813953494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201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12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201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12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IFERROR(__xludf.DUMMYFUNCTION("IMPORTRANGE(""https://docs.google.com/spreadsheets/d/1C3CXT74ZlgGe6_JY_1olB1XN4rF0dxEuIIF-xsYjHgg/edit?usp=sharing"",""งบกองทุน!cz72"")"),0)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IFERROR(__xludf.DUMMYFUNCTION("IMPORTRANGE(""https://docs.google.com/spreadsheets/d/1C3CXT74ZlgGe6_JY_1olB1XN4rF0dxEuIIF-xsYjHgg/edit?usp=sharing"",""งบกองทุน!cz72"")"),0)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IFERROR(__xludf.DUMMYFUNCTION("IMPORTRANGE(""https://docs.google.com/spreadsheets/d/1C3CXT74ZlgGe6_JY_1olB1XN4rF0dxEuIIF-xsYjHgg/edit?usp=sharing"",""งบกองทุน!cy72"")"),0)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IFERROR(__xludf.DUMMYFUNCTION("IMPORTRANGE(""https://docs.google.com/spreadsheets/d/1C3CXT74ZlgGe6_JY_1olB1XN4rF0dxEuIIF-xsYjHgg/edit?usp=sharing"",""งบกองทุน!db72"")"),0)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IFERROR(__xludf.DUMMYFUNCTION("IMPORTRANGE(""https://docs.google.com/spreadsheets/d/1C3CXT74ZlgGe6_JY_1olB1XN4rF0dxEuIIF-xsYjHgg/edit?usp=sharing"",""งบกองทุน!da72"")"),0)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IFERROR(__xludf.DUMMYFUNCTION("IMPORTRANGE(""https://docs.google.com/spreadsheets/d/1C3CXT74ZlgGe6_JY_1olB1XN4rF0dxEuIIF-xsYjHgg/edit?usp=sharing"",""งบกองทุน!dd72"")"),0)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IFERROR(__xludf.DUMMYFUNCTION("IMPORTRANGE(""https://docs.google.com/spreadsheets/d/1C3CXT74ZlgGe6_JY_1olB1XN4rF0dxEuIIF-xsYjHgg/edit?usp=sharing"",""งบกองทุน!dc72"")"),0)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IFERROR(__xludf.DUMMYFUNCTION("IMPORTRANGE(""https://docs.google.com/spreadsheets/d/1C3CXT74ZlgGe6_JY_1olB1XN4rF0dxEuIIF-xsYjHgg/edit?usp=sharing"",""งบกองทุน!df72"")"),0)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IFERROR(__xludf.DUMMYFUNCTION("IMPORTRANGE(""https://docs.google.com/spreadsheets/d/1C3CXT74ZlgGe6_JY_1olB1XN4rF0dxEuIIF-xsYjHgg/edit?usp=sharing"",""งบกองทุน!de72"")"),0)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18632.97</v>
      </c>
      <c r="N426" s="259">
        <f t="shared" ref="N426:N430" ca="1" si="93">+IF(L426&gt;0,M426*100/L426,0)</f>
        <v>54.260250436808384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18632.97</v>
      </c>
      <c r="N428" s="52">
        <f t="shared" ca="1" si="93"/>
        <v>54.260250436808384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IFERROR(__xludf.DUMMYFUNCTION("IMPORTRANGE(""https://docs.google.com/spreadsheets/d/1C3CXT74ZlgGe6_JY_1olB1XN4rF0dxEuIIF-xsYjHgg/edit?usp=sharing"",""งบกองทุน!dn73"")"),0)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IFERROR(__xludf.DUMMYFUNCTION("IMPORTRANGE(""https://docs.google.com/spreadsheets/d/1C3CXT74ZlgGe6_JY_1olB1XN4rF0dxEuIIF-xsYjHgg/edit?usp=sharing"",""งบกองทุน!do73"")"),34340)</f>
        <v>34340</v>
      </c>
      <c r="M430" s="52">
        <f>SUM(M431:M434)</f>
        <v>18632.97</v>
      </c>
      <c r="N430" s="52">
        <f t="shared" ca="1" si="93"/>
        <v>54.260250436808384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18632.97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IFERROR(__xludf.DUMMYFUNCTION("IMPORTRANGE(""https://docs.google.com/spreadsheets/d/1C3CXT74ZlgGe6_JY_1olB1XN4rF0dxEuIIF-xsYjHgg/edit?usp=sharing"",""งบกองทุน!dq73"")"),22)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IFERROR(__xludf.DUMMYFUNCTION("IMPORTRANGE(""https://docs.google.com/spreadsheets/d/1C3CXT74ZlgGe6_JY_1olB1XN4rF0dxEuIIF-xsYjHgg/edit?usp=sharing"",""งบกองทุน!dr73"")"),22)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IFERROR(__xludf.DUMMYFUNCTION("IMPORTRANGE(""https://docs.google.com/spreadsheets/d/1C3CXT74ZlgGe6_JY_1olB1XN4rF0dxEuIIF-xsYjHgg/edit?usp=sharing"",""งบกองทุน!dt73"")"),0)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IFERROR(__xludf.DUMMYFUNCTION("IMPORTRANGE(""https://docs.google.com/spreadsheets/d/1C3CXT74ZlgGe6_JY_1olB1XN4rF0dxEuIIF-xsYjHgg/edit?usp=sharing"",""งบกองทุน!du73"")"),0)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IFERROR(__xludf.DUMMYFUNCTION("IMPORTRANGE(""https://docs.google.com/spreadsheets/d/1C3CXT74ZlgGe6_JY_1olB1XN4rF0dxEuIIF-xsYjHgg/edit?usp=sharing"",""งบกองทุน!dw73"")"),0)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IFERROR(__xludf.DUMMYFUNCTION("IMPORTRANGE(""https://docs.google.com/spreadsheets/d/1C3CXT74ZlgGe6_JY_1olB1XN4rF0dxEuIIF-xsYjHgg/edit?usp=sharing"",""งบกองทุน!dx73"")"),0)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IFERROR(__xludf.DUMMYFUNCTION("IMPORTRANGE(""https://docs.google.com/spreadsheets/d/1C3CXT74ZlgGe6_JY_1olB1XN4rF0dxEuIIF-xsYjHgg/edit?usp=sharing"",""งบกองทุน!dy73"")"),0)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IFERROR(__xludf.DUMMYFUNCTION("IMPORTRANGE(""https://docs.google.com/spreadsheets/d/1C3CXT74ZlgGe6_JY_1olB1XN4rF0dxEuIIF-xsYjHgg/edit?usp=sharing"",""งบกองทุน!dz73"")"),0)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550</v>
      </c>
      <c r="J457" s="226">
        <f>+J466</f>
        <v>1082</v>
      </c>
      <c r="K457" s="227">
        <f t="shared" ca="1" si="100"/>
        <v>196.72727272727272</v>
      </c>
      <c r="L457" s="228">
        <f t="shared" ref="L457:M457" ca="1" si="101">SUM(L458:L459)</f>
        <v>126080</v>
      </c>
      <c r="M457" s="228">
        <f t="shared" si="101"/>
        <v>19983.88</v>
      </c>
      <c r="N457" s="228">
        <f t="shared" ref="N457:N461" ca="1" si="102">+IF(L457&gt;0,M457*100/L457,0)</f>
        <v>15.850158629441625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126080</v>
      </c>
      <c r="M459" s="52">
        <f t="shared" si="103"/>
        <v>19983.88</v>
      </c>
      <c r="N459" s="52">
        <f t="shared" ca="1" si="102"/>
        <v>15.850158629441625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IFERROR(__xludf.DUMMYFUNCTION("IMPORTRANGE(""https://docs.google.com/spreadsheets/d/1C3CXT74ZlgGe6_JY_1olB1XN4rF0dxEuIIF-xsYjHgg/edit?usp=sharing"",""งบกองทุน!Eb73"")"),0)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IFERROR(__xludf.DUMMYFUNCTION("IMPORTRANGE(""https://docs.google.com/spreadsheets/d/1C3CXT74ZlgGe6_JY_1olB1XN4rF0dxEuIIF-xsYjHgg/edit?usp=sharing"",""งบกองทุน!Ec73"")"),126080)</f>
        <v>126080</v>
      </c>
      <c r="M461" s="52">
        <f>SUM(M462:M465)</f>
        <v>19983.88</v>
      </c>
      <c r="N461" s="52">
        <f t="shared" ca="1" si="102"/>
        <v>15.850158629441625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19983.88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IFERROR(__xludf.DUMMYFUNCTION("IMPORTRANGE(""https://docs.google.com/spreadsheets/d/1C3CXT74ZlgGe6_JY_1olB1XN4rF0dxEuIIF-xsYjHgg/edit?usp=sharing"",""งบกองทุน!Ed73"")"),550)</f>
        <v>550</v>
      </c>
      <c r="J466" s="265">
        <f>+J469+J470+J471+J472</f>
        <v>1082</v>
      </c>
      <c r="K466" s="79">
        <f ca="1">IF(I466&gt;0,J466*100/I466,0)</f>
        <v>196.72727272727272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1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24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1056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2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IFERROR(__xludf.DUMMYFUNCTION("IMPORTRANGE(""https://docs.google.com/spreadsheets/d/1C3CXT74ZlgGe6_JY_1olB1XN4rF0dxEuIIF-xsYjHgg/edit?usp=sharing"",""งบกองทุน!Ek73"")"),0)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IFERROR(__xludf.DUMMYFUNCTION("IMPORTRANGE(""https://docs.google.com/spreadsheets/d/1C3CXT74ZlgGe6_JY_1olB1XN4rF0dxEuIIF-xsYjHgg/edit?usp=sharing"",""งบกองทุน!El73"")"),0)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IFERROR(__xludf.DUMMYFUNCTION("IMPORTRANGE(""https://docs.google.com/spreadsheets/d/1C3CXT74ZlgGe6_JY_1olB1XN4rF0dxEuIIF-xsYjHgg/edit?usp=sharing"",""งบกองทุน!Em73"")"),0)</f>
        <v>0</v>
      </c>
      <c r="J482" s="66">
        <f ca="1">IFERROR(__xludf.DUMMYFUNCTION("IMPORTRANGE(""https://docs.google.com/spreadsheets/d/1AGHcLOeeYFL3K4b9R1dSzyJy00PE_ra89DNTVfnxSWM/edit?usp=sharing"",""รวมที่ชุมชน!G62"")"),0)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IFERROR(__xludf.DUMMYFUNCTION("IMPORTRANGE(""https://docs.google.com/spreadsheets/d/1C3CXT74ZlgGe6_JY_1olB1XN4rF0dxEuIIF-xsYjHgg/edit?usp=sharing"",""งบกองทุน!En73"")"),0)</f>
        <v>0</v>
      </c>
      <c r="J483" s="66">
        <f ca="1">IFERROR(__xludf.DUMMYFUNCTION("IMPORTRANGE(""https://docs.google.com/spreadsheets/d/1AGHcLOeeYFL3K4b9R1dSzyJy00PE_ra89DNTVfnxSWM/edit?usp=sharing"",""รวมที่ชุมชน!H62"")"),0)</f>
        <v>0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IFERROR(__xludf.DUMMYFUNCTION("IMPORTRANGE(""https://docs.google.com/spreadsheets/d/1C3CXT74ZlgGe6_JY_1olB1XN4rF0dxEuIIF-xsYjHgg/edit?usp=sharing"",""งบกองทุน!Eo73"")"),0)</f>
        <v>0</v>
      </c>
      <c r="J484" s="66">
        <f ca="1">IFERROR(__xludf.DUMMYFUNCTION("IMPORTRANGE(""https://docs.google.com/spreadsheets/d/1AGHcLOeeYFL3K4b9R1dSzyJy00PE_ra89DNTVfnxSWM/edit?usp=sharing"",""รวมที่ชุมชน!J62"")"),0)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IFERROR(__xludf.DUMMYFUNCTION("IMPORTRANGE(""https://docs.google.com/spreadsheets/d/1C3CXT74ZlgGe6_JY_1olB1XN4rF0dxEuIIF-xsYjHgg/edit?usp=sharing"",""งบกองทุน!Ep73"")"),0)</f>
        <v>0</v>
      </c>
      <c r="J485" s="66">
        <f ca="1">IFERROR(__xludf.DUMMYFUNCTION("IMPORTRANGE(""https://docs.google.com/spreadsheets/d/1AGHcLOeeYFL3K4b9R1dSzyJy00PE_ra89DNTVfnxSWM/edit?usp=sharing"",""รวมที่ชุมชน!L62"")"),0)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IFERROR(__xludf.DUMMYFUNCTION("IMPORTRANGE(""https://docs.google.com/spreadsheets/d/1C3CXT74ZlgGe6_JY_1olB1XN4rF0dxEuIIF-xsYjHgg/edit?usp=sharing"",""งบกองทุน!Eq73"")"),0)</f>
        <v>0</v>
      </c>
      <c r="J486" s="66">
        <f ca="1">IFERROR(__xludf.DUMMYFUNCTION("IMPORTRANGE(""https://docs.google.com/spreadsheets/d/1AGHcLOeeYFL3K4b9R1dSzyJy00PE_ra89DNTVfnxSWM/edit?usp=sharing"",""รวมที่ชุมชน!S62"")"),0)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IFERROR(__xludf.DUMMYFUNCTION("IMPORTRANGE(""https://docs.google.com/spreadsheets/d/1C3CXT74ZlgGe6_JY_1olB1XN4rF0dxEuIIF-xsYjHgg/edit?usp=sharing"",""งบกองทุน!Er73"")"),0)</f>
        <v>0</v>
      </c>
      <c r="J487" s="66">
        <f ca="1">IFERROR(__xludf.DUMMYFUNCTION("IMPORTRANGE(""https://docs.google.com/spreadsheets/d/1AGHcLOeeYFL3K4b9R1dSzyJy00PE_ra89DNTVfnxSWM/edit?usp=sharing"",""รวมที่ชุมชน!U62"")"),0)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IFERROR(__xludf.DUMMYFUNCTION("IMPORTRANGE(""https://docs.google.com/spreadsheets/d/1C3CXT74ZlgGe6_JY_1olB1XN4rF0dxEuIIF-xsYjHgg/edit?usp=sharing"",""งบกองทุน!Es73"")"),0)</f>
        <v>0</v>
      </c>
      <c r="J488" s="66">
        <f ca="1">IFERROR(__xludf.DUMMYFUNCTION("IMPORTRANGE(""https://docs.google.com/spreadsheets/d/1AGHcLOeeYFL3K4b9R1dSzyJy00PE_ra89DNTVfnxSWM/edit?usp=sharing"",""รวมที่ชุมชน!V62"")"),0)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IFERROR(__xludf.DUMMYFUNCTION("IMPORTRANGE(""https://docs.google.com/spreadsheets/d/1C3CXT74ZlgGe6_JY_1olB1XN4rF0dxEuIIF-xsYjHgg/edit?usp=sharing"",""งบกองทุน!Et73"")"),0)</f>
        <v>0</v>
      </c>
      <c r="J489" s="111">
        <f ca="1">IFERROR(__xludf.DUMMYFUNCTION("IMPORTRANGE(""https://docs.google.com/spreadsheets/d/1AGHcLOeeYFL3K4b9R1dSzyJy00PE_ra89DNTVfnxSWM/edit?usp=sharing"",""รวมที่ชุมชน!X62"")"),0)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5350</v>
      </c>
      <c r="M490" s="259">
        <f>SUM(M491:M492)</f>
        <v>300</v>
      </c>
      <c r="N490" s="259">
        <f t="shared" ref="N490:N494" ca="1" si="109">+IF(L490&gt;0,M490*100/L490,0)</f>
        <v>5.6074766355140184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5350</v>
      </c>
      <c r="M492" s="52">
        <f t="shared" si="110"/>
        <v>300</v>
      </c>
      <c r="N492" s="52">
        <f t="shared" ca="1" si="109"/>
        <v>5.6074766355140184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IFERROR(__xludf.DUMMYFUNCTION("IMPORTRANGE(""https://docs.google.com/spreadsheets/d/1C3CXT74ZlgGe6_JY_1olB1XN4rF0dxEuIIF-xsYjHgg/edit?usp=sharing"",""งบกองทุน!Ev73"")"),0)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IFERROR(__xludf.DUMMYFUNCTION("IMPORTRANGE(""https://docs.google.com/spreadsheets/d/1C3CXT74ZlgGe6_JY_1olB1XN4rF0dxEuIIF-xsYjHgg/edit?usp=sharing"",""งบกองทุน!Ew73"")"),5350)</f>
        <v>5350</v>
      </c>
      <c r="M494" s="52">
        <f>SUM(M495:M498)</f>
        <v>300</v>
      </c>
      <c r="N494" s="52">
        <f t="shared" ca="1" si="109"/>
        <v>5.6074766355140184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300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IFERROR(__xludf.DUMMYFUNCTION("IMPORTRANGE(""https://docs.google.com/spreadsheets/d/1C3CXT74ZlgGe6_JY_1olB1XN4rF0dxEuIIF-xsYjHgg/edit?usp=sharing"",""งบกองทุน!EZ73"")"),50)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IFERROR(__xludf.DUMMYFUNCTION("IMPORTRANGE(""https://docs.google.com/spreadsheets/d/1C3CXT74ZlgGe6_JY_1olB1XN4rF0dxEuIIF-xsYjHgg/edit?usp=sharing"",""งบกองทุน!ff73"")"),0)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IFERROR(__xludf.DUMMYFUNCTION("IMPORTRANGE(""https://docs.google.com/spreadsheets/d/1muirlRDkqiswvy_NRZ3Yh955hx-PF6_HhssUYiSJj8o/edit?usp=sharing"",""กองทุน!D73"")"),1799548.1)</f>
        <v>1799548.1</v>
      </c>
      <c r="J521" s="199">
        <f ca="1">IFERROR(__xludf.DUMMYFUNCTION("IMPORTRANGE(""https://docs.google.com/spreadsheets/d/1muirlRDkqiswvy_NRZ3Yh955hx-PF6_HhssUYiSJj8o/edit?usp=sharing"",""กองทุน!F73"")"),38965.43)</f>
        <v>38965.43</v>
      </c>
      <c r="K521" s="200">
        <f t="shared" ref="K521:K528" ca="1" si="116">IF(I521&gt;0,J521*100/I521,0)</f>
        <v>2.1652897191244844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IFERROR(__xludf.DUMMYFUNCTION("IMPORTRANGE(""https://docs.google.com/spreadsheets/d/1muirlRDkqiswvy_NRZ3Yh955hx-PF6_HhssUYiSJj8o/edit?usp=sharing"",""กองทุน!C73"")"),117)</f>
        <v>117</v>
      </c>
      <c r="J522" s="199">
        <f ca="1">IFERROR(__xludf.DUMMYFUNCTION("IMPORTRANGE(""https://docs.google.com/spreadsheets/d/1muirlRDkqiswvy_NRZ3Yh955hx-PF6_HhssUYiSJj8o/edit?usp=sharing"",""กองทุน!E73"")"),6)</f>
        <v>6</v>
      </c>
      <c r="K522" s="200">
        <f t="shared" ca="1" si="116"/>
        <v>5.1282051282051286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IFERROR(__xludf.DUMMYFUNCTION("IMPORTRANGE(""https://docs.google.com/spreadsheets/d/1muirlRDkqiswvy_NRZ3Yh955hx-PF6_HhssUYiSJj8o/edit?usp=sharing"",""กองทุน!I73"")"),4148676.29999999)</f>
        <v>4148676.29999999</v>
      </c>
      <c r="J523" s="199">
        <f ca="1">IFERROR(__xludf.DUMMYFUNCTION("IMPORTRANGE(""https://docs.google.com/spreadsheets/d/1muirlRDkqiswvy_NRZ3Yh955hx-PF6_HhssUYiSJj8o/edit?usp=sharing"",""กองทุน!K73"")"),89493.88)</f>
        <v>89493.88</v>
      </c>
      <c r="K523" s="200">
        <f t="shared" ca="1" si="116"/>
        <v>2.1571670944778267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IFERROR(__xludf.DUMMYFUNCTION("IMPORTRANGE(""https://docs.google.com/spreadsheets/d/1muirlRDkqiswvy_NRZ3Yh955hx-PF6_HhssUYiSJj8o/edit?usp=sharing"",""กองทุน!H73"")"),203)</f>
        <v>203</v>
      </c>
      <c r="J524" s="199">
        <f ca="1">IFERROR(__xludf.DUMMYFUNCTION("IMPORTRANGE(""https://docs.google.com/spreadsheets/d/1muirlRDkqiswvy_NRZ3Yh955hx-PF6_HhssUYiSJj8o/edit?usp=sharing"",""กองทุน!J73"")"),54)</f>
        <v>54</v>
      </c>
      <c r="K524" s="200">
        <f t="shared" ca="1" si="116"/>
        <v>26.600985221674875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IFERROR(__xludf.DUMMYFUNCTION("IMPORTRANGE(""https://docs.google.com/spreadsheets/d/1muirlRDkqiswvy_NRZ3Yh955hx-PF6_HhssUYiSJj8o/edit?usp=sharing"",""กองทุน!N73"")"),130782.22)</f>
        <v>130782.22</v>
      </c>
      <c r="J525" s="199">
        <f ca="1">IFERROR(__xludf.DUMMYFUNCTION("IMPORTRANGE(""https://docs.google.com/spreadsheets/d/1muirlRDkqiswvy_NRZ3Yh955hx-PF6_HhssUYiSJj8o/edit?usp=sharing"",""กองทุน!P73"")"),24416.25)</f>
        <v>24416.25</v>
      </c>
      <c r="K525" s="200">
        <f t="shared" ca="1" si="116"/>
        <v>18.669395579919044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IFERROR(__xludf.DUMMYFUNCTION("IMPORTRANGE(""https://docs.google.com/spreadsheets/d/1muirlRDkqiswvy_NRZ3Yh955hx-PF6_HhssUYiSJj8o/edit?usp=sharing"",""กองทุน!M73"")"),15)</f>
        <v>15</v>
      </c>
      <c r="J526" s="199">
        <f ca="1">IFERROR(__xludf.DUMMYFUNCTION("IMPORTRANGE(""https://docs.google.com/spreadsheets/d/1muirlRDkqiswvy_NRZ3Yh955hx-PF6_HhssUYiSJj8o/edit?usp=sharing"",""กองทุน!O73"")"),3)</f>
        <v>3</v>
      </c>
      <c r="K526" s="200">
        <f t="shared" ca="1" si="116"/>
        <v>20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IFERROR(__xludf.DUMMYFUNCTION("IMPORTRANGE(""https://docs.google.com/spreadsheets/d/1muirlRDkqiswvy_NRZ3Yh955hx-PF6_HhssUYiSJj8o/edit?usp=sharing"",""กองทุน!S73"")"),2000000)</f>
        <v>2000000</v>
      </c>
      <c r="J527" s="199">
        <f ca="1">IFERROR(__xludf.DUMMYFUNCTION("IMPORTRANGE(""https://docs.google.com/spreadsheets/d/1muirlRDkqiswvy_NRZ3Yh955hx-PF6_HhssUYiSJj8o/edit?usp=sharing"",""กองทุน!U73"")"),0)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IFERROR(__xludf.DUMMYFUNCTION("IMPORTRANGE(""https://docs.google.com/spreadsheets/d/1muirlRDkqiswvy_NRZ3Yh955hx-PF6_HhssUYiSJj8o/edit?usp=sharing"",""กองทุน!R73"")"),76)</f>
        <v>76</v>
      </c>
      <c r="J528" s="324">
        <f ca="1">IFERROR(__xludf.DUMMYFUNCTION("IMPORTRANGE(""https://docs.google.com/spreadsheets/d/1muirlRDkqiswvy_NRZ3Yh955hx-PF6_HhssUYiSJj8o/edit?usp=sharing"",""กองทุน!T73"")"),0)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239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3215965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2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1817200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180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IFERROR(__xludf.DUMMYFUNCTION("IMPORTRANGE(""https://docs.google.com/spreadsheets/d/1C3CXT74ZlgGe6_JY_1olB1XN4rF0dxEuIIF-xsYjHgg/edit?usp=sharing"",""พรบ!C74"")"),1817200)</f>
        <v>1817200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IFERROR(__xludf.DUMMYFUNCTION("IMPORTRANGE(""https://docs.google.com/spreadsheets/d/1C3CXT74ZlgGe6_JY_1olB1XN4rF0dxEuIIF-xsYjHgg/edit?usp=sharing"",""พรบ!D74"")"),439200)</f>
        <v>439200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IFERROR(__xludf.DUMMYFUNCTION("IMPORTRANGE(""https://docs.google.com/spreadsheets/d/1C3CXT74ZlgGe6_JY_1olB1XN4rF0dxEuIIF-xsYjHgg/edit?usp=sharing"",""พรบ!E74"")"),1378000)</f>
        <v>1378000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2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180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IFERROR(__xludf.DUMMYFUNCTION("IMPORTRANGE(""https://docs.google.com/spreadsheets/d/1C3CXT74ZlgGe6_JY_1olB1XN4rF0dxEuIIF-xsYjHgg/edit?usp=sharing"",""พรบ!H74"")"),1)</f>
        <v>1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IFERROR(__xludf.DUMMYFUNCTION("IMPORTRANGE(""https://docs.google.com/spreadsheets/d/1C3CXT74ZlgGe6_JY_1olB1XN4rF0dxEuIIF-xsYjHgg/edit?usp=sharing"",""พรบ!I74"")"),80)</f>
        <v>80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IFERROR(__xludf.DUMMYFUNCTION("IMPORTRANGE(""https://docs.google.com/spreadsheets/d/1C3CXT74ZlgGe6_JY_1olB1XN4rF0dxEuIIF-xsYjHgg/edit?usp=sharing"",""พรบ!J74"")"),1)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IFERROR(__xludf.DUMMYFUNCTION("IMPORTRANGE(""https://docs.google.com/spreadsheets/d/1C3CXT74ZlgGe6_JY_1olB1XN4rF0dxEuIIF-xsYjHgg/edit?usp=sharing"",""พรบ!K74"")"),100)</f>
        <v>100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IFERROR(__xludf.DUMMYFUNCTION("IMPORTRANGE(""https://docs.google.com/spreadsheets/d/1C3CXT74ZlgGe6_JY_1olB1XN4rF0dxEuIIF-xsYjHgg/edit?usp=sharing"",""พรบ!L74"")"),0)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IFERROR(__xludf.DUMMYFUNCTION("IMPORTRANGE(""https://docs.google.com/spreadsheets/d/1C3CXT74ZlgGe6_JY_1olB1XN4rF0dxEuIIF-xsYjHgg/edit?usp=sharing"",""พรบ!M74"")"),0)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IFERROR(__xludf.DUMMYFUNCTION("IMPORTRANGE(""https://docs.google.com/spreadsheets/d/1C3CXT74ZlgGe6_JY_1olB1XN4rF0dxEuIIF-xsYjHgg/edit?usp=sharing"",""พรบ!N74"")"),80)</f>
        <v>80</v>
      </c>
      <c r="J28" s="67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IFERROR(__xludf.DUMMYFUNCTION("IMPORTRANGE(""https://docs.google.com/spreadsheets/d/1C3CXT74ZlgGe6_JY_1olB1XN4rF0dxEuIIF-xsYjHgg/edit?usp=sharing"",""พรบ!O74"")"),0)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IFERROR(__xludf.DUMMYFUNCTION("IMPORTRANGE(""https://docs.google.com/spreadsheets/d/1C3CXT74ZlgGe6_JY_1olB1XN4rF0dxEuIIF-xsYjHgg/edit?usp=sharing"",""พรบ!P74"")"),0)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IFERROR(__xludf.DUMMYFUNCTION("IMPORTRANGE(""https://docs.google.com/spreadsheets/d/1C3CXT74ZlgGe6_JY_1olB1XN4rF0dxEuIIF-xsYjHgg/edit?usp=sharing"",""พรบ!Q74"")"),0)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IFERROR(__xludf.DUMMYFUNCTION("IMPORTRANGE(""https://docs.google.com/spreadsheets/d/1C3CXT74ZlgGe6_JY_1olB1XN4rF0dxEuIIF-xsYjHgg/edit?usp=sharing"",""พรบ!R74"")"),0)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IFERROR(__xludf.DUMMYFUNCTION("IMPORTRANGE(""https://docs.google.com/spreadsheets/d/1C3CXT74ZlgGe6_JY_1olB1XN4rF0dxEuIIF-xsYjHgg/edit?usp=sharing"",""พรบ!S74"")"),0)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IFERROR(__xludf.DUMMYFUNCTION("IMPORTRANGE(""https://docs.google.com/spreadsheets/d/1C3CXT74ZlgGe6_JY_1olB1XN4rF0dxEuIIF-xsYjHgg/edit?usp=sharing"",""พรบ!T74"")"),0)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IFERROR(__xludf.DUMMYFUNCTION("IMPORTRANGE(""https://docs.google.com/spreadsheets/d/1C3CXT74ZlgGe6_JY_1olB1XN4rF0dxEuIIF-xsYjHgg/edit?usp=sharing"",""พรบ!U74"")"),0)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IFERROR(__xludf.DUMMYFUNCTION("IMPORTRANGE(""https://docs.google.com/spreadsheets/d/1C3CXT74ZlgGe6_JY_1olB1XN4rF0dxEuIIF-xsYjHgg/edit?usp=sharing"",""พรบ!V74"")"),0)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IFERROR(__xludf.DUMMYFUNCTION("IMPORTRANGE(""https://docs.google.com/spreadsheets/d/1C3CXT74ZlgGe6_JY_1olB1XN4rF0dxEuIIF-xsYjHgg/edit?usp=sharing"",""พรบ!W74"")"),0)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15</v>
      </c>
      <c r="J52" s="38">
        <f>+J62</f>
        <v>0</v>
      </c>
      <c r="K52" s="39">
        <f ca="1">IF(I52&gt;0,J52*100/I52,0)</f>
        <v>0</v>
      </c>
      <c r="L52" s="40">
        <f ca="1">L53+L54</f>
        <v>64890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64890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IFERROR(__xludf.DUMMYFUNCTION("IMPORTRANGE(""https://docs.google.com/spreadsheets/d/1C3CXT74ZlgGe6_JY_1olB1XN4rF0dxEuIIF-xsYjHgg/edit?usp=sharing"",""พรบ!Y74"")"),0)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IFERROR(__xludf.DUMMYFUNCTION("IMPORTRANGE(""https://docs.google.com/spreadsheets/d/1C3CXT74ZlgGe6_JY_1olB1XN4rF0dxEuIIF-xsYjHgg/edit?usp=sharing"",""พรบ!Z74"")"),64890)</f>
        <v>64890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1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0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IFERROR(__xludf.DUMMYFUNCTION("IMPORTRANGE(""https://docs.google.com/spreadsheets/d/1C3CXT74ZlgGe6_JY_1olB1XN4rF0dxEuIIF-xsYjHgg/edit?usp=sharing"",""พรบ!AA74"")"),15)</f>
        <v>15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15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/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97500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97500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IFERROR(__xludf.DUMMYFUNCTION("IMPORTRANGE(""https://docs.google.com/spreadsheets/d/1C3CXT74ZlgGe6_JY_1olB1XN4rF0dxEuIIF-xsYjHgg/edit?usp=sharing"",""พรบ!AD74"")"),0)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97500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IFERROR(__xludf.DUMMYFUNCTION("IMPORTRANGE(""https://docs.google.com/spreadsheets/d/1C3CXT74ZlgGe6_JY_1olB1XN4rF0dxEuIIF-xsYjHgg/edit?usp=sharing"",""พรบ!AF74"")"),7500)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IFERROR(__xludf.DUMMYFUNCTION("IMPORTRANGE(""https://docs.google.com/spreadsheets/d/1C3CXT74ZlgGe6_JY_1olB1XN4rF0dxEuIIF-xsYjHgg/edit?usp=sharing"",""พรบ!AG74"")"),4)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0</v>
      </c>
      <c r="K89" s="150">
        <f ca="1">IF(I89&gt;0,J89*100/I89,0)</f>
        <v>0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IFERROR(__xludf.DUMMYFUNCTION("IMPORTRANGE(""https://docs.google.com/spreadsheets/d/1C3CXT74ZlgGe6_JY_1olB1XN4rF0dxEuIIF-xsYjHgg/edit?usp=sharing"",""พรบ!AH74"")"),56000)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IFERROR(__xludf.DUMMYFUNCTION("IMPORTRANGE(""https://docs.google.com/spreadsheets/d/1C3CXT74ZlgGe6_JY_1olB1XN4rF0dxEuIIF-xsYjHgg/edit?usp=sharing"",""พรบ!AI74"")"),4)</f>
        <v>4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IFERROR(__xludf.DUMMYFUNCTION("IMPORTRANGE(""https://docs.google.com/spreadsheets/d/1C3CXT74ZlgGe6_JY_1olB1XN4rF0dxEuIIF-xsYjHgg/edit?usp=sharing"",""กปร!C74"")"),48000)</f>
        <v>48000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66"/>
      <c r="K102" s="232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66"/>
      <c r="K103" s="232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IFERROR(__xludf.DUMMYFUNCTION("IMPORTRANGE(""https://docs.google.com/spreadsheets/d/1C3CXT74ZlgGe6_JY_1olB1XN4rF0dxEuIIF-xsYjHgg/edit?usp=sharing"",""พรบ!AJ74"")"),0)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IFERROR(__xludf.DUMMYFUNCTION("IMPORTRANGE(""https://docs.google.com/spreadsheets/d/1C3CXT74ZlgGe6_JY_1olB1XN4rF0dxEuIIF-xsYjHgg/edit?usp=sharing"",""พรบ!AK74"")"),0)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IFERROR(__xludf.DUMMYFUNCTION("IMPORTRANGE(""https://docs.google.com/spreadsheets/d/1C3CXT74ZlgGe6_JY_1olB1XN4rF0dxEuIIF-xsYjHgg/edit?usp=sharing"",""กปร!D74"")"),0)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IFERROR(__xludf.DUMMYFUNCTION("IMPORTRANGE(""https://docs.google.com/spreadsheets/d/1C3CXT74ZlgGe6_JY_1olB1XN4rF0dxEuIIF-xsYjHgg/edit?usp=sharing"",""พรบ!AL74"")"),0)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IFERROR(__xludf.DUMMYFUNCTION("IMPORTRANGE(""https://docs.google.com/spreadsheets/d/1C3CXT74ZlgGe6_JY_1olB1XN4rF0dxEuIIF-xsYjHgg/edit?usp=sharing"",""กปร!E74"")"),0)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100000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34000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34000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IFERROR(__xludf.DUMMYFUNCTION("IMPORTRANGE(""https://docs.google.com/spreadsheets/d/1C3CXT74ZlgGe6_JY_1olB1XN4rF0dxEuIIF-xsYjHgg/edit?usp=sharing"",""พรบ!AM74"")"),34000)</f>
        <v>34000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IFERROR(__xludf.DUMMYFUNCTION("IMPORTRANGE(""https://docs.google.com/spreadsheets/d/1C3CXT74ZlgGe6_JY_1olB1XN4rF0dxEuIIF-xsYjHgg/edit?usp=sharing"",""พรบ!AO74"")"),100000)</f>
        <v>100000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IFERROR(__xludf.DUMMYFUNCTION("IMPORTRANGE(""https://docs.google.com/spreadsheets/d/1C3CXT74ZlgGe6_JY_1olB1XN4rF0dxEuIIF-xsYjHgg/edit?usp=sharing"",""พรบ!AP74"")"),100000)</f>
        <v>100000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IFERROR(__xludf.DUMMYFUNCTION("IMPORTRANGE(""https://docs.google.com/spreadsheets/d/1C3CXT74ZlgGe6_JY_1olB1XN4rF0dxEuIIF-xsYjHgg/edit?usp=sharing"",""กปร!F74"")"),25000)</f>
        <v>25000</v>
      </c>
      <c r="M125" s="361"/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IFERROR(__xludf.DUMMYFUNCTION("IMPORTRANGE(""https://docs.google.com/spreadsheets/d/1C3CXT74ZlgGe6_JY_1olB1XN4rF0dxEuIIF-xsYjHgg/edit?usp=sharing"",""พรบ!AQ74"")"),0)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IFERROR(__xludf.DUMMYFUNCTION("IMPORTRANGE(""https://docs.google.com/spreadsheets/d/1C3CXT74ZlgGe6_JY_1olB1XN4rF0dxEuIIF-xsYjHgg/edit?usp=sharing"",""กปร!G74"")"),0)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IFERROR(__xludf.DUMMYFUNCTION("IMPORTRANGE(""https://docs.google.com/spreadsheets/d/1C3CXT74ZlgGe6_JY_1olB1XN4rF0dxEuIIF-xsYjHgg/edit?usp=sharing"",""พรบ!AR74"")"),0)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IFERROR(__xludf.DUMMYFUNCTION("IMPORTRANGE(""https://docs.google.com/spreadsheets/d/1C3CXT74ZlgGe6_JY_1olB1XN4rF0dxEuIIF-xsYjHgg/edit?usp=sharing"",""พรบ!AS74"")"),0)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IFERROR(__xludf.DUMMYFUNCTION("IMPORTRANGE(""https://docs.google.com/spreadsheets/d/1C3CXT74ZlgGe6_JY_1olB1XN4rF0dxEuIIF-xsYjHgg/edit?usp=sharing"",""กปร!H74"")"),0)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IFERROR(__xludf.DUMMYFUNCTION("IMPORTRANGE(""https://docs.google.com/spreadsheets/d/1C3CXT74ZlgGe6_JY_1olB1XN4rF0dxEuIIF-xsYjHgg/edit?usp=sharing"",""พรบ!AT74"")"),0)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IFERROR(__xludf.DUMMYFUNCTION("IMPORTRANGE(""https://docs.google.com/spreadsheets/d/1C3CXT74ZlgGe6_JY_1olB1XN4rF0dxEuIIF-xsYjHgg/edit?usp=sharing"",""กปร!I74"")"),0)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IFERROR(__xludf.DUMMYFUNCTION("IMPORTRANGE(""https://docs.google.com/spreadsheets/d/1C3CXT74ZlgGe6_JY_1olB1XN4rF0dxEuIIF-xsYjHgg/edit?usp=sharing"",""พรบ!AU74"")"),0)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IFERROR(__xludf.DUMMYFUNCTION("IMPORTRANGE(""https://docs.google.com/spreadsheets/d/1C3CXT74ZlgGe6_JY_1olB1XN4rF0dxEuIIF-xsYjHgg/edit?usp=sharing"",""กปร!J74"")"),0)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15</v>
      </c>
      <c r="K144" s="137">
        <f ca="1">IF(I144&gt;0,J144*100/I144,0)</f>
        <v>100</v>
      </c>
      <c r="L144" s="138">
        <f ca="1">L145+L146</f>
        <v>21125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IFERROR(__xludf.DUMMYFUNCTION("IMPORTRANGE(""https://docs.google.com/spreadsheets/d/1C3CXT74ZlgGe6_JY_1olB1XN4rF0dxEuIIF-xsYjHgg/edit?usp=sharing"",""พรบ!AY74"")"),21125)</f>
        <v>21125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15</v>
      </c>
      <c r="K149" s="137">
        <f ca="1">IF(I149&gt;0,J149*100/I149,0)</f>
        <v>100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IFERROR(__xludf.DUMMYFUNCTION("IMPORTRANGE(""https://docs.google.com/spreadsheets/d/1C3CXT74ZlgGe6_JY_1olB1XN4rF0dxEuIIF-xsYjHgg/edit?usp=sharing"",""พรบ!BA74"")"),15)</f>
        <v>15</v>
      </c>
      <c r="J155" s="67">
        <v>15</v>
      </c>
      <c r="K155" s="48">
        <f ca="1">IF(I155&gt;0,J155*100/I155,0)</f>
        <v>100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199500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199500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IFERROR(__xludf.DUMMYFUNCTION("IMPORTRANGE(""https://docs.google.com/spreadsheets/d/1C3CXT74ZlgGe6_JY_1olB1XN4rF0dxEuIIF-xsYjHgg/edit?usp=sharing"",""พรบ!BD74"")"),0)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IFERROR(__xludf.DUMMYFUNCTION("IMPORTRANGE(""https://docs.google.com/spreadsheets/d/1C3CXT74ZlgGe6_JY_1olB1XN4rF0dxEuIIF-xsYjHgg/edit?usp=sharing"",""พรบ!BE74"")"),199500)</f>
        <v>199500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IFERROR(__xludf.DUMMYFUNCTION("IMPORTRANGE(""https://docs.google.com/spreadsheets/d/1C3CXT74ZlgGe6_JY_1olB1XN4rF0dxEuIIF-xsYjHgg/edit?usp=sharing"",""พรบ!BF74"")"),1)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IFERROR(__xludf.DUMMYFUNCTION("IMPORTRANGE(""https://docs.google.com/spreadsheets/d/1C3CXT74ZlgGe6_JY_1olB1XN4rF0dxEuIIF-xsYjHgg/edit?usp=sharing"",""พรบ!BG74"")"),25)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IFERROR(__xludf.DUMMYFUNCTION("IMPORTRANGE(""https://docs.google.com/spreadsheets/d/1C3CXT74ZlgGe6_JY_1olB1XN4rF0dxEuIIF-xsYjHgg/edit?usp=sharing"",""พรบ!BH74"")"),25)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IFERROR(__xludf.DUMMYFUNCTION("IMPORTRANGE(""https://docs.google.com/spreadsheets/d/1C3CXT74ZlgGe6_JY_1olB1XN4rF0dxEuIIF-xsYjHgg/edit?usp=sharing"",""พรบ!BI74"")"),1)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IFERROR(__xludf.DUMMYFUNCTION("IMPORTRANGE(""https://docs.google.com/spreadsheets/d/1C3CXT74ZlgGe6_JY_1olB1XN4rF0dxEuIIF-xsYjHgg/edit?usp=sharing"",""พรบ!BK74"")"),0)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IFERROR(__xludf.DUMMYFUNCTION("IMPORTRANGE(""https://docs.google.com/spreadsheets/d/1C3CXT74ZlgGe6_JY_1olB1XN4rF0dxEuIIF-xsYjHgg/edit?usp=sharing"",""พรบ!BL74"")"),55200)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IFERROR(__xludf.DUMMYFUNCTION("IMPORTRANGE(""https://docs.google.com/spreadsheets/d/1C3CXT74ZlgGe6_JY_1olB1XN4rF0dxEuIIF-xsYjHgg/edit?usp=sharing"",""พรบ!BM74"")"),15)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IFERROR(__xludf.DUMMYFUNCTION("IMPORTRANGE(""https://docs.google.com/spreadsheets/d/1C3CXT74ZlgGe6_JY_1olB1XN4rF0dxEuIIF-xsYjHgg/edit?usp=sharing"",""พรบ!BP74"")"),0)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IFERROR(__xludf.DUMMYFUNCTION("IMPORTRANGE(""https://docs.google.com/spreadsheets/d/1C3CXT74ZlgGe6_JY_1olB1XN4rF0dxEuIIF-xsYjHgg/edit?usp=sharing"",""พรบ!BQ74"")"),0)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IFERROR(__xludf.DUMMYFUNCTION("IMPORTRANGE(""https://docs.google.com/spreadsheets/d/1C3CXT74ZlgGe6_JY_1olB1XN4rF0dxEuIIF-xsYjHgg/edit?usp=sharing"",""พรบ!BR74"")"),0)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IFERROR(__xludf.DUMMYFUNCTION("IMPORTRANGE(""https://docs.google.com/spreadsheets/d/1C3CXT74ZlgGe6_JY_1olB1XN4rF0dxEuIIF-xsYjHgg/edit?usp=sharing"",""พรบ!BU74"")"),0)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IFERROR(__xludf.DUMMYFUNCTION("IMPORTRANGE(""https://docs.google.com/spreadsheets/d/1C3CXT74ZlgGe6_JY_1olB1XN4rF0dxEuIIF-xsYjHgg/edit?usp=sharing"",""พรบ!BV74"")"),0)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170</v>
      </c>
      <c r="J228" s="197">
        <f ca="1">J240</f>
        <v>9</v>
      </c>
      <c r="K228" s="178">
        <f ca="1">IF(I228&gt;0,J228*100/I228,0)</f>
        <v>5.2941176470588234</v>
      </c>
      <c r="L228" s="179">
        <f ca="1">L229+L230</f>
        <v>960550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960550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IFERROR(__xludf.DUMMYFUNCTION("IMPORTRANGE(""https://docs.google.com/spreadsheets/d/1C3CXT74ZlgGe6_JY_1olB1XN4rF0dxEuIIF-xsYjHgg/edit?usp=sharing"",""พรบ!BX74"")"),500400)</f>
        <v>500400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IFERROR(__xludf.DUMMYFUNCTION("IMPORTRANGE(""https://docs.google.com/spreadsheets/d/1C3CXT74ZlgGe6_JY_1olB1XN4rF0dxEuIIF-xsYjHgg/edit?usp=sharing"",""พรบ!BY74"")"),460150)</f>
        <v>460150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IFERROR(__xludf.DUMMYFUNCTION("IMPORTRANGE(""https://docs.google.com/spreadsheets/d/1AGHcLOeeYFL3K4b9R1dSzyJy00PE_ra89DNTVfnxSWM/edit?usp=sharing"",""รวมที่ทำกิน!J63"")"),40)</f>
        <v>40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IFERROR(__xludf.DUMMYFUNCTION("IMPORTRANGE(""https://docs.google.com/spreadsheets/d/1C3CXT74ZlgGe6_JY_1olB1XN4rF0dxEuIIF-xsYjHgg/edit?usp=sharing"",""พรบ!BZ74"")"),3250)</f>
        <v>3250</v>
      </c>
      <c r="J235" s="66">
        <f ca="1">IFERROR(__xludf.DUMMYFUNCTION("IMPORTRANGE(""https://docs.google.com/spreadsheets/d/1AGHcLOeeYFL3K4b9R1dSzyJy00PE_ra89DNTVfnxSWM/edit?usp=sharing"",""รวมที่ทำกิน!L63"")"),428.65)</f>
        <v>428.65</v>
      </c>
      <c r="K235" s="200">
        <f t="shared" ca="1" si="52"/>
        <v>13.18923076923077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IFERROR(__xludf.DUMMYFUNCTION("IMPORTRANGE(""https://docs.google.com/spreadsheets/d/1C3CXT74ZlgGe6_JY_1olB1XN4rF0dxEuIIF-xsYjHgg/edit?usp=sharing"",""พรบ!CA74"")"),170)</f>
        <v>170</v>
      </c>
      <c r="J236" s="66">
        <f ca="1">IFERROR(__xludf.DUMMYFUNCTION("IMPORTRANGE(""https://docs.google.com/spreadsheets/d/1AGHcLOeeYFL3K4b9R1dSzyJy00PE_ra89DNTVfnxSWM/edit?usp=sharing"",""รวมที่ทำกิน!O63"")"),41)</f>
        <v>41</v>
      </c>
      <c r="K236" s="200">
        <f t="shared" ca="1" si="52"/>
        <v>24.117647058823529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IFERROR(__xludf.DUMMYFUNCTION("IMPORTRANGE(""https://docs.google.com/spreadsheets/d/1AGHcLOeeYFL3K4b9R1dSzyJy00PE_ra89DNTVfnxSWM/edit?usp=sharing"",""รวมที่ทำกิน!Q63"")"),426.27)</f>
        <v>426.27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IFERROR(__xludf.DUMMYFUNCTION("IMPORTRANGE(""https://docs.google.com/spreadsheets/d/1C3CXT74ZlgGe6_JY_1olB1XN4rF0dxEuIIF-xsYjHgg/edit?usp=sharing"",""พรบ!CB74"")"),170)</f>
        <v>170</v>
      </c>
      <c r="J238" s="66">
        <f ca="1">IFERROR(__xludf.DUMMYFUNCTION("IMPORTRANGE(""https://docs.google.com/spreadsheets/d/1AGHcLOeeYFL3K4b9R1dSzyJy00PE_ra89DNTVfnxSWM/edit?usp=sharing"",""รวมที่ทำกิน!S63"")"),0)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IFERROR(__xludf.DUMMYFUNCTION("IMPORTRANGE(""https://docs.google.com/spreadsheets/d/1AGHcLOeeYFL3K4b9R1dSzyJy00PE_ra89DNTVfnxSWM/edit?usp=sharing"",""รวมที่ทำกิน!U63"")"),0)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IFERROR(__xludf.DUMMYFUNCTION("IMPORTRANGE(""https://docs.google.com/spreadsheets/d/1C3CXT74ZlgGe6_JY_1olB1XN4rF0dxEuIIF-xsYjHgg/edit?usp=sharing"",""พรบ!CC74"")"),170)</f>
        <v>170</v>
      </c>
      <c r="J240" s="66">
        <f ca="1">IFERROR(__xludf.DUMMYFUNCTION("IMPORTRANGE(""https://docs.google.com/spreadsheets/d/1AGHcLOeeYFL3K4b9R1dSzyJy00PE_ra89DNTVfnxSWM/edit?usp=sharing"",""รวมที่ทำกิน!W63"")"),9)</f>
        <v>9</v>
      </c>
      <c r="K240" s="200">
        <f t="shared" ca="1" si="52"/>
        <v>5.2941176470588234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IFERROR(__xludf.DUMMYFUNCTION("IMPORTRANGE(""https://docs.google.com/spreadsheets/d/1AGHcLOeeYFL3K4b9R1dSzyJy00PE_ra89DNTVfnxSWM/edit?usp=sharing"",""รวมที่ทำกิน!Y63"")"),120.69)</f>
        <v>120.69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2550401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60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289160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40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289160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IFERROR(__xludf.DUMMYFUNCTION("IMPORTRANGE(""https://docs.google.com/spreadsheets/d/1C3CXT74ZlgGe6_JY_1olB1XN4rF0dxEuIIF-xsYjHgg/edit?usp=sharing"",""งบกองทุน!d74"")"),0)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IFERROR(__xludf.DUMMYFUNCTION("IMPORTRANGE(""https://docs.google.com/spreadsheets/d/1C3CXT74ZlgGe6_JY_1olB1XN4rF0dxEuIIF-xsYjHgg/edit?usp=sharing"",""งบกองทุน!e74"")"),289160)</f>
        <v>289160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1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IFERROR(__xludf.DUMMYFUNCTION("IMPORTRANGE(""https://docs.google.com/spreadsheets/d/1C3CXT74ZlgGe6_JY_1olB1XN4rF0dxEuIIF-xsYjHgg/edit?usp=sharing"",""งบกองทุน!f74"")"),0)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60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IFERROR(__xludf.DUMMYFUNCTION("IMPORTRANGE(""https://docs.google.com/spreadsheets/d/1C3CXT74ZlgGe6_JY_1olB1XN4rF0dxEuIIF-xsYjHgg/edit?usp=sharing"",""งบกองทุน!H74"")"),40)</f>
        <v>40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IFERROR(__xludf.DUMMYFUNCTION("IMPORTRANGE(""https://docs.google.com/spreadsheets/d/1C3CXT74ZlgGe6_JY_1olB1XN4rF0dxEuIIF-xsYjHgg/edit?usp=sharing"",""งบกองทุน!i74"")"),30)</f>
        <v>30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40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IFERROR(__xludf.DUMMYFUNCTION("IMPORTRANGE(""https://docs.google.com/spreadsheets/d/1C3CXT74ZlgGe6_JY_1olB1XN4rF0dxEuIIF-xsYjHgg/edit?usp=sharing"",""งบกองทุน!k74"")"),30)</f>
        <v>30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40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IFERROR(__xludf.DUMMYFUNCTION("IMPORTRANGE(""https://docs.google.com/spreadsheets/d/1C3CXT74ZlgGe6_JY_1olB1XN4rF0dxEuIIF-xsYjHgg/edit?usp=sharing"",""งบกองทุน!m74"")"),0)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60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IFERROR(__xludf.DUMMYFUNCTION("IMPORTRANGE(""https://docs.google.com/spreadsheets/d/1C3CXT74ZlgGe6_JY_1olB1XN4rF0dxEuIIF-xsYjHgg/edit?usp=sharing"",""งบกองทุน!o74"")"),30)</f>
        <v>30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IFERROR(__xludf.DUMMYFUNCTION("IMPORTRANGE(""https://docs.google.com/spreadsheets/d/1C3CXT74ZlgGe6_JY_1olB1XN4rF0dxEuIIF-xsYjHgg/edit?usp=sharing"",""งบกองทุน!p74"")"),30)</f>
        <v>30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IFERROR(__xludf.DUMMYFUNCTION("IMPORTRANGE(""https://docs.google.com/spreadsheets/d/1C3CXT74ZlgGe6_JY_1olB1XN4rF0dxEuIIF-xsYjHgg/edit?usp=sharing"",""งบกองทุน!r74"")"),0)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IFERROR(__xludf.DUMMYFUNCTION("IMPORTRANGE(""https://docs.google.com/spreadsheets/d/1C3CXT74ZlgGe6_JY_1olB1XN4rF0dxEuIIF-xsYjHgg/edit?usp=sharing"",""งบกองทุน!s74"")"),1028520)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IFERROR(__xludf.DUMMYFUNCTION("IMPORTRANGE(""https://docs.google.com/spreadsheets/d/1C3CXT74ZlgGe6_JY_1olB1XN4rF0dxEuIIF-xsYjHgg/edit?usp=sharing"",""งบกองทุน!v74"")"),100)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IFERROR(__xludf.DUMMYFUNCTION("IMPORTRANGE(""https://docs.google.com/spreadsheets/d/1C3CXT74ZlgGe6_JY_1olB1XN4rF0dxEuIIF-xsYjHgg/edit?usp=sharing"",""งบกองทุน!w74"")"),1000)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IFERROR(__xludf.DUMMYFUNCTION("IMPORTRANGE(""https://docs.google.com/spreadsheets/d/1C3CXT74ZlgGe6_JY_1olB1XN4rF0dxEuIIF-xsYjHgg/edit?usp=sharing"",""งบกองทุน!x74"")"),100)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150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172800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50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172800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IFERROR(__xludf.DUMMYFUNCTION("IMPORTRANGE(""https://docs.google.com/spreadsheets/d/1C3CXT74ZlgGe6_JY_1olB1XN4rF0dxEuIIF-xsYjHgg/edit?usp=sharing"",""งบกองทุน!z74"")"),0)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IFERROR(__xludf.DUMMYFUNCTION("IMPORTRANGE(""https://docs.google.com/spreadsheets/d/1C3CXT74ZlgGe6_JY_1olB1XN4rF0dxEuIIF-xsYjHgg/edit?usp=sharing"",""งบกองทุน!aa74"")"),172800)</f>
        <v>172800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50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IFERROR(__xludf.DUMMYFUNCTION("IMPORTRANGE(""https://docs.google.com/spreadsheets/d/1C3CXT74ZlgGe6_JY_1olB1XN4rF0dxEuIIF-xsYjHgg/edit?usp=sharing"",""งบกองทุน!ae74"")"),10)</f>
        <v>10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IFERROR(__xludf.DUMMYFUNCTION("IMPORTRANGE(""https://docs.google.com/spreadsheets/d/1C3CXT74ZlgGe6_JY_1olB1XN4rF0dxEuIIF-xsYjHgg/edit?usp=sharing"",""งบกองทุน!ad74"")"),30)</f>
        <v>30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IFERROR(__xludf.DUMMYFUNCTION("IMPORTRANGE(""https://docs.google.com/spreadsheets/d/1C3CXT74ZlgGe6_JY_1olB1XN4rF0dxEuIIF-xsYjHgg/edit?usp=sharing"",""งบกองทุน!af74"")"),10)</f>
        <v>10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IFERROR(__xludf.DUMMYFUNCTION("IMPORTRANGE(""https://docs.google.com/spreadsheets/d/1C3CXT74ZlgGe6_JY_1olB1XN4rF0dxEuIIF-xsYjHgg/edit?usp=sharing"",""งบกองทุน!ag74"")"),10)</f>
        <v>10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IFERROR(__xludf.DUMMYFUNCTION("IMPORTRANGE(""https://docs.google.com/spreadsheets/d/1C3CXT74ZlgGe6_JY_1olB1XN4rF0dxEuIIF-xsYjHgg/edit?usp=sharing"",""งบกองทุน!ai74"")"),30)</f>
        <v>30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IFERROR(__xludf.DUMMYFUNCTION("IMPORTRANGE(""https://docs.google.com/spreadsheets/d/1C3CXT74ZlgGe6_JY_1olB1XN4rF0dxEuIIF-xsYjHgg/edit?usp=sharing"",""งบกองทุน!ah74"")"),90)</f>
        <v>90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IFERROR(__xludf.DUMMYFUNCTION("IMPORTRANGE(""https://docs.google.com/spreadsheets/d/1C3CXT74ZlgGe6_JY_1olB1XN4rF0dxEuIIF-xsYjHgg/edit?usp=sharing"",""งบกองทุน!aj74"")"),30)</f>
        <v>30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IFERROR(__xludf.DUMMYFUNCTION("IMPORTRANGE(""https://docs.google.com/spreadsheets/d/1C3CXT74ZlgGe6_JY_1olB1XN4rF0dxEuIIF-xsYjHgg/edit?usp=sharing"",""งบกองทุน!ak74"")"),30)</f>
        <v>30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IFERROR(__xludf.DUMMYFUNCTION("IMPORTRANGE(""https://docs.google.com/spreadsheets/d/1C3CXT74ZlgGe6_JY_1olB1XN4rF0dxEuIIF-xsYjHgg/edit?usp=sharing"",""งบกองทุน!al74"")"),30)</f>
        <v>30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IFERROR(__xludf.DUMMYFUNCTION("IMPORTRANGE(""https://docs.google.com/spreadsheets/d/1C3CXT74ZlgGe6_JY_1olB1XN4rF0dxEuIIF-xsYjHgg/edit?usp=sharing"",""งบกองทุน!an74"")"),10)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IFERROR(__xludf.DUMMYFUNCTION("IMPORTRANGE(""https://docs.google.com/spreadsheets/d/1C3CXT74ZlgGe6_JY_1olB1XN4rF0dxEuIIF-xsYjHgg/edit?usp=sharing"",""งบกองทุน!am74"")"),30)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IFERROR(__xludf.DUMMYFUNCTION("IMPORTRANGE(""https://docs.google.com/spreadsheets/d/1C3CXT74ZlgGe6_JY_1olB1XN4rF0dxEuIIF-xsYjHgg/edit?usp=sharing"",""งบกองทุน!ao74"")"),10)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IFERROR(__xludf.DUMMYFUNCTION("IMPORTRANGE(""https://docs.google.com/spreadsheets/d/1C3CXT74ZlgGe6_JY_1olB1XN4rF0dxEuIIF-xsYjHgg/edit?usp=sharing"",""งบกองทุน!ap74"")"),10)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40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IFERROR(__xludf.DUMMYFUNCTION("IMPORTRANGE(""https://docs.google.com/spreadsheets/d/1C3CXT74ZlgGe6_JY_1olB1XN4rF0dxEuIIF-xsYjHgg/edit?usp=sharing"",""งบกองทุน!ar74"")"),10)</f>
        <v>10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IFERROR(__xludf.DUMMYFUNCTION("IMPORTRANGE(""https://docs.google.com/spreadsheets/d/1C3CXT74ZlgGe6_JY_1olB1XN4rF0dxEuIIF-xsYjHgg/edit?usp=sharing"",""งบกองทุน!as74"")"),30)</f>
        <v>30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20</v>
      </c>
      <c r="K330" s="258">
        <f ca="1">IF(I330&gt;0,J330*100/I330,0)</f>
        <v>100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IFERROR(__xludf.DUMMYFUNCTION("IMPORTRANGE(""https://docs.google.com/spreadsheets/d/1C3CXT74ZlgGe6_JY_1olB1XN4rF0dxEuIIF-xsYjHgg/edit?usp=sharing"",""งบกองทุน!au74"")"),0)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IFERROR(__xludf.DUMMYFUNCTION("IMPORTRANGE(""https://docs.google.com/spreadsheets/d/1C3CXT74ZlgGe6_JY_1olB1XN4rF0dxEuIIF-xsYjHgg/edit?usp=sharing"",""งบกองทุน!av74"")"),95000)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20</v>
      </c>
      <c r="J344" s="78">
        <f t="shared" si="77"/>
        <v>20</v>
      </c>
      <c r="K344" s="48">
        <f t="shared" ref="K344:K347" ca="1" si="78">IF(I344&gt;0,J344*100/I344,0)</f>
        <v>100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IFERROR(__xludf.DUMMYFUNCTION("IMPORTRANGE(""https://docs.google.com/spreadsheets/d/1C3CXT74ZlgGe6_JY_1olB1XN4rF0dxEuIIF-xsYjHgg/edit?usp=sharing"",""งบกองทุน!ay74"")"),20)</f>
        <v>20</v>
      </c>
      <c r="J345" s="67">
        <v>20</v>
      </c>
      <c r="K345" s="48">
        <f t="shared" ca="1" si="78"/>
        <v>100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IFERROR(__xludf.DUMMYFUNCTION("IMPORTRANGE(""https://docs.google.com/spreadsheets/d/1C3CXT74ZlgGe6_JY_1olB1XN4rF0dxEuIIF-xsYjHgg/edit?usp=sharing"",""งบกองทุน!az74"")"),0)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IFERROR(__xludf.DUMMYFUNCTION("IMPORTRANGE(""https://docs.google.com/spreadsheets/d/1C3CXT74ZlgGe6_JY_1olB1XN4rF0dxEuIIF-xsYjHgg/edit?usp=sharing"",""งบกองทุน!Ba74"")"),0)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106282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794001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794001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IFERROR(__xludf.DUMMYFUNCTION("IMPORTRANGE(""https://docs.google.com/spreadsheets/d/1C3CXT74ZlgGe6_JY_1olB1XN4rF0dxEuIIF-xsYjHgg/edit?usp=sharing"",""งบกองทุน!Bc74"")"),0)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IFERROR(__xludf.DUMMYFUNCTION("IMPORTRANGE(""https://docs.google.com/spreadsheets/d/1C3CXT74ZlgGe6_JY_1olB1XN4rF0dxEuIIF-xsYjHgg/edit?usp=sharing"",""งบกองทุน!Bd74"")"),794001)</f>
        <v>794001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IFERROR(__xludf.DUMMYFUNCTION("IMPORTRANGE(""https://docs.google.com/spreadsheets/d/1C3CXT74ZlgGe6_JY_1olB1XN4rF0dxEuIIF-xsYjHgg/edit?usp=sharing"",""งบกองทุน!BE74"")"),106282)</f>
        <v>106282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IFERROR(__xludf.DUMMYFUNCTION("IMPORTRANGE(""https://docs.google.com/spreadsheets/d/1C3CXT74ZlgGe6_JY_1olB1XN4rF0dxEuIIF-xsYjHgg/edit?usp=sharing"",""งบกองทุน!BE74"")"),106282)</f>
        <v>106282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IFERROR(__xludf.DUMMYFUNCTION("IMPORTRANGE(""https://docs.google.com/spreadsheets/d/1C3CXT74ZlgGe6_JY_1olB1XN4rF0dxEuIIF-xsYjHgg/edit?usp=sharing"",""งบกองทุน!Bf74"")"),6394)</f>
        <v>6394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106282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6394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106282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6394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IFERROR(__xludf.DUMMYFUNCTION("IMPORTRANGE(""https://docs.google.com/spreadsheets/d/1C3CXT74ZlgGe6_JY_1olB1XN4rF0dxEuIIF-xsYjHgg/edit?usp=sharing"",""งบกองทุน!cd74"")"),5605)</f>
        <v>5605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IFERROR(__xludf.DUMMYFUNCTION("IMPORTRANGE(""https://docs.google.com/spreadsheets/d/1C3CXT74ZlgGe6_JY_1olB1XN4rF0dxEuIIF-xsYjHgg/edit?usp=sharing"",""งบกองทุน!cd74"")"),5605)</f>
        <v>5605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IFERROR(__xludf.DUMMYFUNCTION("IMPORTRANGE(""https://docs.google.com/spreadsheets/d/1C3CXT74ZlgGe6_JY_1olB1XN4rF0dxEuIIF-xsYjHgg/edit?usp=sharing"",""งบกองทุน!cc74"")"),328)</f>
        <v>328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IFERROR(__xludf.DUMMYFUNCTION("IMPORTRANGE(""https://docs.google.com/spreadsheets/d/1C3CXT74ZlgGe6_JY_1olB1XN4rF0dxEuIIF-xsYjHgg/edit?usp=sharing"",""งบกองทุน!cz72"")"),0)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IFERROR(__xludf.DUMMYFUNCTION("IMPORTRANGE(""https://docs.google.com/spreadsheets/d/1C3CXT74ZlgGe6_JY_1olB1XN4rF0dxEuIIF-xsYjHgg/edit?usp=sharing"",""งบกองทุน!cz72"")"),0)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IFERROR(__xludf.DUMMYFUNCTION("IMPORTRANGE(""https://docs.google.com/spreadsheets/d/1C3CXT74ZlgGe6_JY_1olB1XN4rF0dxEuIIF-xsYjHgg/edit?usp=sharing"",""งบกองทุน!cy72"")"),0)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IFERROR(__xludf.DUMMYFUNCTION("IMPORTRANGE(""https://docs.google.com/spreadsheets/d/1C3CXT74ZlgGe6_JY_1olB1XN4rF0dxEuIIF-xsYjHgg/edit?usp=sharing"",""งบกองทุน!db72"")"),0)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IFERROR(__xludf.DUMMYFUNCTION("IMPORTRANGE(""https://docs.google.com/spreadsheets/d/1C3CXT74ZlgGe6_JY_1olB1XN4rF0dxEuIIF-xsYjHgg/edit?usp=sharing"",""งบกองทุน!da72"")"),0)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IFERROR(__xludf.DUMMYFUNCTION("IMPORTRANGE(""https://docs.google.com/spreadsheets/d/1C3CXT74ZlgGe6_JY_1olB1XN4rF0dxEuIIF-xsYjHgg/edit?usp=sharing"",""งบกองทุน!dd72"")"),0)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IFERROR(__xludf.DUMMYFUNCTION("IMPORTRANGE(""https://docs.google.com/spreadsheets/d/1C3CXT74ZlgGe6_JY_1olB1XN4rF0dxEuIIF-xsYjHgg/edit?usp=sharing"",""งบกองทุน!dc72"")"),0)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IFERROR(__xludf.DUMMYFUNCTION("IMPORTRANGE(""https://docs.google.com/spreadsheets/d/1C3CXT74ZlgGe6_JY_1olB1XN4rF0dxEuIIF-xsYjHgg/edit?usp=sharing"",""งบกองทุน!df72"")"),0)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IFERROR(__xludf.DUMMYFUNCTION("IMPORTRANGE(""https://docs.google.com/spreadsheets/d/1C3CXT74ZlgGe6_JY_1olB1XN4rF0dxEuIIF-xsYjHgg/edit?usp=sharing"",""งบกองทุน!de72"")"),0)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IFERROR(__xludf.DUMMYFUNCTION("IMPORTRANGE(""https://docs.google.com/spreadsheets/d/1C3CXT74ZlgGe6_JY_1olB1XN4rF0dxEuIIF-xsYjHgg/edit?usp=sharing"",""งบกองทุน!dn74"")"),0)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IFERROR(__xludf.DUMMYFUNCTION("IMPORTRANGE(""https://docs.google.com/spreadsheets/d/1C3CXT74ZlgGe6_JY_1olB1XN4rF0dxEuIIF-xsYjHgg/edit?usp=sharing"",""งบกองทุน!do74"")"),34340)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IFERROR(__xludf.DUMMYFUNCTION("IMPORTRANGE(""https://docs.google.com/spreadsheets/d/1C3CXT74ZlgGe6_JY_1olB1XN4rF0dxEuIIF-xsYjHgg/edit?usp=sharing"",""งบกองทุน!dq74"")"),22)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IFERROR(__xludf.DUMMYFUNCTION("IMPORTRANGE(""https://docs.google.com/spreadsheets/d/1C3CXT74ZlgGe6_JY_1olB1XN4rF0dxEuIIF-xsYjHgg/edit?usp=sharing"",""งบกองทุน!dr74"")"),22)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IFERROR(__xludf.DUMMYFUNCTION("IMPORTRANGE(""https://docs.google.com/spreadsheets/d/1C3CXT74ZlgGe6_JY_1olB1XN4rF0dxEuIIF-xsYjHgg/edit?usp=sharing"",""งบกองทุน!dt74"")"),0)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IFERROR(__xludf.DUMMYFUNCTION("IMPORTRANGE(""https://docs.google.com/spreadsheets/d/1C3CXT74ZlgGe6_JY_1olB1XN4rF0dxEuIIF-xsYjHgg/edit?usp=sharing"",""งบกองทุน!du74"")"),0)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IFERROR(__xludf.DUMMYFUNCTION("IMPORTRANGE(""https://docs.google.com/spreadsheets/d/1C3CXT74ZlgGe6_JY_1olB1XN4rF0dxEuIIF-xsYjHgg/edit?usp=sharing"",""งบกองทุน!dw74"")"),0)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IFERROR(__xludf.DUMMYFUNCTION("IMPORTRANGE(""https://docs.google.com/spreadsheets/d/1C3CXT74ZlgGe6_JY_1olB1XN4rF0dxEuIIF-xsYjHgg/edit?usp=sharing"",""งบกองทุน!dx74"")"),0)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IFERROR(__xludf.DUMMYFUNCTION("IMPORTRANGE(""https://docs.google.com/spreadsheets/d/1C3CXT74ZlgGe6_JY_1olB1XN4rF0dxEuIIF-xsYjHgg/edit?usp=sharing"",""งบกองทุน!dy74"")"),0)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IFERROR(__xludf.DUMMYFUNCTION("IMPORTRANGE(""https://docs.google.com/spreadsheets/d/1C3CXT74ZlgGe6_JY_1olB1XN4rF0dxEuIIF-xsYjHgg/edit?usp=sharing"",""งบกองทุน!dz74"")"),0)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1350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127680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127680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IFERROR(__xludf.DUMMYFUNCTION("IMPORTRANGE(""https://docs.google.com/spreadsheets/d/1C3CXT74ZlgGe6_JY_1olB1XN4rF0dxEuIIF-xsYjHgg/edit?usp=sharing"",""งบกองทุน!Eb74"")"),0)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IFERROR(__xludf.DUMMYFUNCTION("IMPORTRANGE(""https://docs.google.com/spreadsheets/d/1C3CXT74ZlgGe6_JY_1olB1XN4rF0dxEuIIF-xsYjHgg/edit?usp=sharing"",""งบกองทุน!Ec74"")"),127680)</f>
        <v>127680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IFERROR(__xludf.DUMMYFUNCTION("IMPORTRANGE(""https://docs.google.com/spreadsheets/d/1C3CXT74ZlgGe6_JY_1olB1XN4rF0dxEuIIF-xsYjHgg/edit?usp=sharing"",""งบกองทุน!Ed74"")"),1350)</f>
        <v>1350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1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IFERROR(__xludf.DUMMYFUNCTION("IMPORTRANGE(""https://docs.google.com/spreadsheets/d/1C3CXT74ZlgGe6_JY_1olB1XN4rF0dxEuIIF-xsYjHgg/edit?usp=sharing"",""งบกองทุน!Ek74"")"),0)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IFERROR(__xludf.DUMMYFUNCTION("IMPORTRANGE(""https://docs.google.com/spreadsheets/d/1C3CXT74ZlgGe6_JY_1olB1XN4rF0dxEuIIF-xsYjHgg/edit?usp=sharing"",""งบกองทุน!El74"")"),0)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IFERROR(__xludf.DUMMYFUNCTION("IMPORTRANGE(""https://docs.google.com/spreadsheets/d/1C3CXT74ZlgGe6_JY_1olB1XN4rF0dxEuIIF-xsYjHgg/edit?usp=sharing"",""งบกองทุน!Em74"")"),0)</f>
        <v>0</v>
      </c>
      <c r="J482" s="66">
        <f ca="1">IFERROR(__xludf.DUMMYFUNCTION("IMPORTRANGE(""https://docs.google.com/spreadsheets/d/1AGHcLOeeYFL3K4b9R1dSzyJy00PE_ra89DNTVfnxSWM/edit?usp=sharing"",""รวมที่ชุมชน!G63"")"),0)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IFERROR(__xludf.DUMMYFUNCTION("IMPORTRANGE(""https://docs.google.com/spreadsheets/d/1C3CXT74ZlgGe6_JY_1olB1XN4rF0dxEuIIF-xsYjHgg/edit?usp=sharing"",""งบกองทุน!En74"")"),0)</f>
        <v>0</v>
      </c>
      <c r="J483" s="66">
        <f ca="1">IFERROR(__xludf.DUMMYFUNCTION("IMPORTRANGE(""https://docs.google.com/spreadsheets/d/1AGHcLOeeYFL3K4b9R1dSzyJy00PE_ra89DNTVfnxSWM/edit?usp=sharing"",""รวมที่ชุมชน!H63"")"),0)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IFERROR(__xludf.DUMMYFUNCTION("IMPORTRANGE(""https://docs.google.com/spreadsheets/d/1C3CXT74ZlgGe6_JY_1olB1XN4rF0dxEuIIF-xsYjHgg/edit?usp=sharing"",""งบกองทุน!Eo74"")"),0)</f>
        <v>0</v>
      </c>
      <c r="J484" s="66">
        <f ca="1">IFERROR(__xludf.DUMMYFUNCTION("IMPORTRANGE(""https://docs.google.com/spreadsheets/d/1AGHcLOeeYFL3K4b9R1dSzyJy00PE_ra89DNTVfnxSWM/edit?usp=sharing"",""รวมที่ชุมชน!J63"")"),1)</f>
        <v>1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IFERROR(__xludf.DUMMYFUNCTION("IMPORTRANGE(""https://docs.google.com/spreadsheets/d/1C3CXT74ZlgGe6_JY_1olB1XN4rF0dxEuIIF-xsYjHgg/edit?usp=sharing"",""งบกองทุน!Ep74"")"),0)</f>
        <v>0</v>
      </c>
      <c r="J485" s="66">
        <f ca="1">IFERROR(__xludf.DUMMYFUNCTION("IMPORTRANGE(""https://docs.google.com/spreadsheets/d/1AGHcLOeeYFL3K4b9R1dSzyJy00PE_ra89DNTVfnxSWM/edit?usp=sharing"",""รวมที่ชุมชน!L63"")"),0.56)</f>
        <v>0.56000000000000005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IFERROR(__xludf.DUMMYFUNCTION("IMPORTRANGE(""https://docs.google.com/spreadsheets/d/1C3CXT74ZlgGe6_JY_1olB1XN4rF0dxEuIIF-xsYjHgg/edit?usp=sharing"",""งบกองทุน!Eq74"")"),0)</f>
        <v>0</v>
      </c>
      <c r="J486" s="66">
        <f ca="1">IFERROR(__xludf.DUMMYFUNCTION("IMPORTRANGE(""https://docs.google.com/spreadsheets/d/1AGHcLOeeYFL3K4b9R1dSzyJy00PE_ra89DNTVfnxSWM/edit?usp=sharing"",""รวมที่ชุมชน!S63"")"),0)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IFERROR(__xludf.DUMMYFUNCTION("IMPORTRANGE(""https://docs.google.com/spreadsheets/d/1C3CXT74ZlgGe6_JY_1olB1XN4rF0dxEuIIF-xsYjHgg/edit?usp=sharing"",""งบกองทุน!Er74"")"),0)</f>
        <v>0</v>
      </c>
      <c r="J487" s="66">
        <f ca="1">IFERROR(__xludf.DUMMYFUNCTION("IMPORTRANGE(""https://docs.google.com/spreadsheets/d/1AGHcLOeeYFL3K4b9R1dSzyJy00PE_ra89DNTVfnxSWM/edit?usp=sharing"",""รวมที่ชุมชน!U63"")"),0)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IFERROR(__xludf.DUMMYFUNCTION("IMPORTRANGE(""https://docs.google.com/spreadsheets/d/1C3CXT74ZlgGe6_JY_1olB1XN4rF0dxEuIIF-xsYjHgg/edit?usp=sharing"",""งบกองทุน!Es74"")"),0)</f>
        <v>0</v>
      </c>
      <c r="J488" s="66">
        <f ca="1">IFERROR(__xludf.DUMMYFUNCTION("IMPORTRANGE(""https://docs.google.com/spreadsheets/d/1AGHcLOeeYFL3K4b9R1dSzyJy00PE_ra89DNTVfnxSWM/edit?usp=sharing"",""รวมที่ชุมชน!V63"")"),1)</f>
        <v>1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IFERROR(__xludf.DUMMYFUNCTION("IMPORTRANGE(""https://docs.google.com/spreadsheets/d/1C3CXT74ZlgGe6_JY_1olB1XN4rF0dxEuIIF-xsYjHgg/edit?usp=sharing"",""งบกองทุน!Et74"")"),0)</f>
        <v>0</v>
      </c>
      <c r="J489" s="111">
        <f ca="1">IFERROR(__xludf.DUMMYFUNCTION("IMPORTRANGE(""https://docs.google.com/spreadsheets/d/1AGHcLOeeYFL3K4b9R1dSzyJy00PE_ra89DNTVfnxSWM/edit?usp=sharing"",""รวมที่ชุมชน!X63"")"),0.56)</f>
        <v>0.56000000000000005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100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8900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8900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IFERROR(__xludf.DUMMYFUNCTION("IMPORTRANGE(""https://docs.google.com/spreadsheets/d/1C3CXT74ZlgGe6_JY_1olB1XN4rF0dxEuIIF-xsYjHgg/edit?usp=sharing"",""งบกองทุน!Ev74"")"),0)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IFERROR(__xludf.DUMMYFUNCTION("IMPORTRANGE(""https://docs.google.com/spreadsheets/d/1C3CXT74ZlgGe6_JY_1olB1XN4rF0dxEuIIF-xsYjHgg/edit?usp=sharing"",""งบกองทุน!Ew74"")"),8900)</f>
        <v>8900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IFERROR(__xludf.DUMMYFUNCTION("IMPORTRANGE(""https://docs.google.com/spreadsheets/d/1C3CXT74ZlgGe6_JY_1olB1XN4rF0dxEuIIF-xsYjHgg/edit?usp=sharing"",""งบกองทุน!EZ74"")"),100)</f>
        <v>100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IFERROR(__xludf.DUMMYFUNCTION("IMPORTRANGE(""https://docs.google.com/spreadsheets/d/1C3CXT74ZlgGe6_JY_1olB1XN4rF0dxEuIIF-xsYjHgg/edit?usp=sharing"",""งบกองทุน!ff74"")"),760)</f>
        <v>760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IFERROR(__xludf.DUMMYFUNCTION("IMPORTRANGE(""https://docs.google.com/spreadsheets/d/1muirlRDkqiswvy_NRZ3Yh955hx-PF6_HhssUYiSJj8o/edit?usp=sharing"",""กองทุน!D74"")"),10939989.04)</f>
        <v>10939989.039999999</v>
      </c>
      <c r="J521" s="199">
        <f ca="1">IFERROR(__xludf.DUMMYFUNCTION("IMPORTRANGE(""https://docs.google.com/spreadsheets/d/1muirlRDkqiswvy_NRZ3Yh955hx-PF6_HhssUYiSJj8o/edit?usp=sharing"",""กองทุน!F74"")"),0)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IFERROR(__xludf.DUMMYFUNCTION("IMPORTRANGE(""https://docs.google.com/spreadsheets/d/1muirlRDkqiswvy_NRZ3Yh955hx-PF6_HhssUYiSJj8o/edit?usp=sharing"",""กองทุน!C74"")"),387)</f>
        <v>387</v>
      </c>
      <c r="J522" s="199">
        <f ca="1">IFERROR(__xludf.DUMMYFUNCTION("IMPORTRANGE(""https://docs.google.com/spreadsheets/d/1muirlRDkqiswvy_NRZ3Yh955hx-PF6_HhssUYiSJj8o/edit?usp=sharing"",""กองทุน!E74"")"),0)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IFERROR(__xludf.DUMMYFUNCTION("IMPORTRANGE(""https://docs.google.com/spreadsheets/d/1muirlRDkqiswvy_NRZ3Yh955hx-PF6_HhssUYiSJj8o/edit?usp=sharing"",""กองทุน!I74"")"),6595546.00999999)</f>
        <v>6595546.0099999905</v>
      </c>
      <c r="J523" s="199">
        <f ca="1">IFERROR(__xludf.DUMMYFUNCTION("IMPORTRANGE(""https://docs.google.com/spreadsheets/d/1muirlRDkqiswvy_NRZ3Yh955hx-PF6_HhssUYiSJj8o/edit?usp=sharing"",""กองทุน!K74"")"),5092.84)</f>
        <v>5092.84</v>
      </c>
      <c r="K523" s="200">
        <f t="shared" ca="1" si="116"/>
        <v>7.721635164516133E-2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IFERROR(__xludf.DUMMYFUNCTION("IMPORTRANGE(""https://docs.google.com/spreadsheets/d/1muirlRDkqiswvy_NRZ3Yh955hx-PF6_HhssUYiSJj8o/edit?usp=sharing"",""กองทุน!H74"")"),307)</f>
        <v>307</v>
      </c>
      <c r="J524" s="199">
        <f ca="1">IFERROR(__xludf.DUMMYFUNCTION("IMPORTRANGE(""https://docs.google.com/spreadsheets/d/1muirlRDkqiswvy_NRZ3Yh955hx-PF6_HhssUYiSJj8o/edit?usp=sharing"",""กองทุน!J74"")"),6)</f>
        <v>6</v>
      </c>
      <c r="K524" s="200">
        <f t="shared" ca="1" si="116"/>
        <v>1.9543973941368078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IFERROR(__xludf.DUMMYFUNCTION("IMPORTRANGE(""https://docs.google.com/spreadsheets/d/1muirlRDkqiswvy_NRZ3Yh955hx-PF6_HhssUYiSJj8o/edit?usp=sharing"",""กองทุน!N74"")"),5091523.71)</f>
        <v>5091523.71</v>
      </c>
      <c r="J525" s="199">
        <f ca="1">IFERROR(__xludf.DUMMYFUNCTION("IMPORTRANGE(""https://docs.google.com/spreadsheets/d/1muirlRDkqiswvy_NRZ3Yh955hx-PF6_HhssUYiSJj8o/edit?usp=sharing"",""กองทุน!P74"")"),204584.27)</f>
        <v>204584.27</v>
      </c>
      <c r="K525" s="200">
        <f t="shared" ca="1" si="116"/>
        <v>4.0181344849320162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IFERROR(__xludf.DUMMYFUNCTION("IMPORTRANGE(""https://docs.google.com/spreadsheets/d/1muirlRDkqiswvy_NRZ3Yh955hx-PF6_HhssUYiSJj8o/edit?usp=sharing"",""กองทุน!M74"")"),239)</f>
        <v>239</v>
      </c>
      <c r="J526" s="199">
        <f ca="1">IFERROR(__xludf.DUMMYFUNCTION("IMPORTRANGE(""https://docs.google.com/spreadsheets/d/1muirlRDkqiswvy_NRZ3Yh955hx-PF6_HhssUYiSJj8o/edit?usp=sharing"",""กองทุน!O74"")"),34)</f>
        <v>34</v>
      </c>
      <c r="K526" s="200">
        <f t="shared" ca="1" si="116"/>
        <v>14.225941422594142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IFERROR(__xludf.DUMMYFUNCTION("IMPORTRANGE(""https://docs.google.com/spreadsheets/d/1muirlRDkqiswvy_NRZ3Yh955hx-PF6_HhssUYiSJj8o/edit?usp=sharing"",""กองทุน!S74"")"),10000000)</f>
        <v>10000000</v>
      </c>
      <c r="J527" s="199">
        <f ca="1">IFERROR(__xludf.DUMMYFUNCTION("IMPORTRANGE(""https://docs.google.com/spreadsheets/d/1muirlRDkqiswvy_NRZ3Yh955hx-PF6_HhssUYiSJj8o/edit?usp=sharing"",""กองทุน!U74"")"),0)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IFERROR(__xludf.DUMMYFUNCTION("IMPORTRANGE(""https://docs.google.com/spreadsheets/d/1muirlRDkqiswvy_NRZ3Yh955hx-PF6_HhssUYiSJj8o/edit?usp=sharing"",""กองทุน!R74"")"),333)</f>
        <v>333</v>
      </c>
      <c r="J528" s="324">
        <f ca="1">IFERROR(__xludf.DUMMYFUNCTION("IMPORTRANGE(""https://docs.google.com/spreadsheets/d/1muirlRDkqiswvy_NRZ3Yh955hx-PF6_HhssUYiSJj8o/edit?usp=sharing"",""กองทุน!T74"")"),0)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240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3202375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779500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IFERROR(__xludf.DUMMYFUNCTION("IMPORTRANGE(""https://docs.google.com/spreadsheets/d/1C3CXT74ZlgGe6_JY_1olB1XN4rF0dxEuIIF-xsYjHgg/edit?usp=sharing"",""พรบ!C75"")"),779500)</f>
        <v>779500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IFERROR(__xludf.DUMMYFUNCTION("IMPORTRANGE(""https://docs.google.com/spreadsheets/d/1C3CXT74ZlgGe6_JY_1olB1XN4rF0dxEuIIF-xsYjHgg/edit?usp=sharing"",""พรบ!D75"")"),179500)</f>
        <v>179500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IFERROR(__xludf.DUMMYFUNCTION("IMPORTRANGE(""https://docs.google.com/spreadsheets/d/1C3CXT74ZlgGe6_JY_1olB1XN4rF0dxEuIIF-xsYjHgg/edit?usp=sharing"",""พรบ!E75"")"),600000)</f>
        <v>600000</v>
      </c>
      <c r="M14" s="53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70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IFERROR(__xludf.DUMMYFUNCTION("IMPORTRANGE(""https://docs.google.com/spreadsheets/d/1C3CXT74ZlgGe6_JY_1olB1XN4rF0dxEuIIF-xsYjHgg/edit?usp=sharing"",""พรบ!H75"")"),1)</f>
        <v>1</v>
      </c>
      <c r="J22" s="67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IFERROR(__xludf.DUMMYFUNCTION("IMPORTRANGE(""https://docs.google.com/spreadsheets/d/1C3CXT74ZlgGe6_JY_1olB1XN4rF0dxEuIIF-xsYjHgg/edit?usp=sharing"",""พรบ!I75"")"),70)</f>
        <v>70</v>
      </c>
      <c r="J23" s="67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IFERROR(__xludf.DUMMYFUNCTION("IMPORTRANGE(""https://docs.google.com/spreadsheets/d/1C3CXT74ZlgGe6_JY_1olB1XN4rF0dxEuIIF-xsYjHgg/edit?usp=sharing"",""พรบ!J75"")"),0)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IFERROR(__xludf.DUMMYFUNCTION("IMPORTRANGE(""https://docs.google.com/spreadsheets/d/1C3CXT74ZlgGe6_JY_1olB1XN4rF0dxEuIIF-xsYjHgg/edit?usp=sharing"",""พรบ!K75"")"),0)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IFERROR(__xludf.DUMMYFUNCTION("IMPORTRANGE(""https://docs.google.com/spreadsheets/d/1C3CXT74ZlgGe6_JY_1olB1XN4rF0dxEuIIF-xsYjHgg/edit?usp=sharing"",""พรบ!L75"")"),0)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IFERROR(__xludf.DUMMYFUNCTION("IMPORTRANGE(""https://docs.google.com/spreadsheets/d/1C3CXT74ZlgGe6_JY_1olB1XN4rF0dxEuIIF-xsYjHgg/edit?usp=sharing"",""พรบ!M75"")"),0)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IFERROR(__xludf.DUMMYFUNCTION("IMPORTRANGE(""https://docs.google.com/spreadsheets/d/1C3CXT74ZlgGe6_JY_1olB1XN4rF0dxEuIIF-xsYjHgg/edit?usp=sharing"",""พรบ!N75"")"),70)</f>
        <v>70</v>
      </c>
      <c r="J28" s="67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IFERROR(__xludf.DUMMYFUNCTION("IMPORTRANGE(""https://docs.google.com/spreadsheets/d/1C3CXT74ZlgGe6_JY_1olB1XN4rF0dxEuIIF-xsYjHgg/edit?usp=sharing"",""พรบ!O75"")"),0)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IFERROR(__xludf.DUMMYFUNCTION("IMPORTRANGE(""https://docs.google.com/spreadsheets/d/1C3CXT74ZlgGe6_JY_1olB1XN4rF0dxEuIIF-xsYjHgg/edit?usp=sharing"",""พรบ!P75"")"),0)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IFERROR(__xludf.DUMMYFUNCTION("IMPORTRANGE(""https://docs.google.com/spreadsheets/d/1C3CXT74ZlgGe6_JY_1olB1XN4rF0dxEuIIF-xsYjHgg/edit?usp=sharing"",""พรบ!Q75"")"),0)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IFERROR(__xludf.DUMMYFUNCTION("IMPORTRANGE(""https://docs.google.com/spreadsheets/d/1C3CXT74ZlgGe6_JY_1olB1XN4rF0dxEuIIF-xsYjHgg/edit?usp=sharing"",""พรบ!R75"")"),0)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IFERROR(__xludf.DUMMYFUNCTION("IMPORTRANGE(""https://docs.google.com/spreadsheets/d/1C3CXT74ZlgGe6_JY_1olB1XN4rF0dxEuIIF-xsYjHgg/edit?usp=sharing"",""พรบ!S75"")"),0)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IFERROR(__xludf.DUMMYFUNCTION("IMPORTRANGE(""https://docs.google.com/spreadsheets/d/1C3CXT74ZlgGe6_JY_1olB1XN4rF0dxEuIIF-xsYjHgg/edit?usp=sharing"",""พรบ!T75"")"),0)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IFERROR(__xludf.DUMMYFUNCTION("IMPORTRANGE(""https://docs.google.com/spreadsheets/d/1C3CXT74ZlgGe6_JY_1olB1XN4rF0dxEuIIF-xsYjHgg/edit?usp=sharing"",""พรบ!U75"")"),0)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IFERROR(__xludf.DUMMYFUNCTION("IMPORTRANGE(""https://docs.google.com/spreadsheets/d/1C3CXT74ZlgGe6_JY_1olB1XN4rF0dxEuIIF-xsYjHgg/edit?usp=sharing"",""พรบ!V75"")"),0)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IFERROR(__xludf.DUMMYFUNCTION("IMPORTRANGE(""https://docs.google.com/spreadsheets/d/1C3CXT74ZlgGe6_JY_1olB1XN4rF0dxEuIIF-xsYjHgg/edit?usp=sharing"",""พรบ!W75"")"),0)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IFERROR(__xludf.DUMMYFUNCTION("IMPORTRANGE(""https://docs.google.com/spreadsheets/d/1C3CXT74ZlgGe6_JY_1olB1XN4rF0dxEuIIF-xsYjHgg/edit?usp=sharing"",""พรบ!Y75"")"),0)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IFERROR(__xludf.DUMMYFUNCTION("IMPORTRANGE(""https://docs.google.com/spreadsheets/d/1C3CXT74ZlgGe6_JY_1olB1XN4rF0dxEuIIF-xsYjHgg/edit?usp=sharing"",""พรบ!Z75"")"),0)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IFERROR(__xludf.DUMMYFUNCTION("IMPORTRANGE(""https://docs.google.com/spreadsheets/d/1C3CXT74ZlgGe6_JY_1olB1XN4rF0dxEuIIF-xsYjHgg/edit?usp=sharing"",""พรบ!AA75"")"),0)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60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479100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479100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IFERROR(__xludf.DUMMYFUNCTION("IMPORTRANGE(""https://docs.google.com/spreadsheets/d/1C3CXT74ZlgGe6_JY_1olB1XN4rF0dxEuIIF-xsYjHgg/edit?usp=sharing"",""พรบ!AD75"")"),132000)</f>
        <v>132000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347100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IFERROR(__xludf.DUMMYFUNCTION("IMPORTRANGE(""https://docs.google.com/spreadsheets/d/1C3CXT74ZlgGe6_JY_1olB1XN4rF0dxEuIIF-xsYjHgg/edit?usp=sharing"",""พรบ!AF75"")"),7500)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IFERROR(__xludf.DUMMYFUNCTION("IMPORTRANGE(""https://docs.google.com/spreadsheets/d/1C3CXT74ZlgGe6_JY_1olB1XN4rF0dxEuIIF-xsYjHgg/edit?usp=sharing"",""พรบ!AG75"")"),4)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IFERROR(__xludf.DUMMYFUNCTION("IMPORTRANGE(""https://docs.google.com/spreadsheets/d/1C3CXT74ZlgGe6_JY_1olB1XN4rF0dxEuIIF-xsYjHgg/edit?usp=sharing"",""พรบ!AH75"")"),42000)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IFERROR(__xludf.DUMMYFUNCTION("IMPORTRANGE(""https://docs.google.com/spreadsheets/d/1C3CXT74ZlgGe6_JY_1olB1XN4rF0dxEuIIF-xsYjHgg/edit?usp=sharing"",""พรบ!AI75"")"),3)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IFERROR(__xludf.DUMMYFUNCTION("IMPORTRANGE(""https://docs.google.com/spreadsheets/d/1C3CXT74ZlgGe6_JY_1olB1XN4rF0dxEuIIF-xsYjHgg/edit?usp=sharing"",""กปร!C75"")"),36000)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6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90000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90000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IFERROR(__xludf.DUMMYFUNCTION("IMPORTRANGE(""https://docs.google.com/spreadsheets/d/1C3CXT74ZlgGe6_JY_1olB1XN4rF0dxEuIIF-xsYjHgg/edit?usp=sharing"",""พรบ!AJ75"")"),90000)</f>
        <v>90000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IFERROR(__xludf.DUMMYFUNCTION("IMPORTRANGE(""https://docs.google.com/spreadsheets/d/1C3CXT74ZlgGe6_JY_1olB1XN4rF0dxEuIIF-xsYjHgg/edit?usp=sharing"",""พรบ!AK75"")"),6)</f>
        <v>6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IFERROR(__xludf.DUMMYFUNCTION("IMPORTRANGE(""https://docs.google.com/spreadsheets/d/1C3CXT74ZlgGe6_JY_1olB1XN4rF0dxEuIIF-xsYjHgg/edit?usp=sharing"",""กปร!D75"")"),30000)</f>
        <v>30000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IFERROR(__xludf.DUMMYFUNCTION("IMPORTRANGE(""https://docs.google.com/spreadsheets/d/1C3CXT74ZlgGe6_JY_1olB1XN4rF0dxEuIIF-xsYjHgg/edit?usp=sharing"",""พรบ!AL75"")"),6)</f>
        <v>6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IFERROR(__xludf.DUMMYFUNCTION("IMPORTRANGE(""https://docs.google.com/spreadsheets/d/1C3CXT74ZlgGe6_JY_1olB1XN4rF0dxEuIIF-xsYjHgg/edit?usp=sharing"",""กปร!E75"")"),48000)</f>
        <v>48000</v>
      </c>
      <c r="M111" s="361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40000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16000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16000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IFERROR(__xludf.DUMMYFUNCTION("IMPORTRANGE(""https://docs.google.com/spreadsheets/d/1C3CXT74ZlgGe6_JY_1olB1XN4rF0dxEuIIF-xsYjHgg/edit?usp=sharing"",""พรบ!AM75"")"),16000)</f>
        <v>16000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IFERROR(__xludf.DUMMYFUNCTION("IMPORTRANGE(""https://docs.google.com/spreadsheets/d/1C3CXT74ZlgGe6_JY_1olB1XN4rF0dxEuIIF-xsYjHgg/edit?usp=sharing"",""พรบ!AO75"")"),40000)</f>
        <v>40000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IFERROR(__xludf.DUMMYFUNCTION("IMPORTRANGE(""https://docs.google.com/spreadsheets/d/1C3CXT74ZlgGe6_JY_1olB1XN4rF0dxEuIIF-xsYjHgg/edit?usp=sharing"",""พรบ!AP75"")"),40000)</f>
        <v>40000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IFERROR(__xludf.DUMMYFUNCTION("IMPORTRANGE(""https://docs.google.com/spreadsheets/d/1C3CXT74ZlgGe6_JY_1olB1XN4rF0dxEuIIF-xsYjHgg/edit?usp=sharing"",""กปร!F75"")"),10000)</f>
        <v>10000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IFERROR(__xludf.DUMMYFUNCTION("IMPORTRANGE(""https://docs.google.com/spreadsheets/d/1C3CXT74ZlgGe6_JY_1olB1XN4rF0dxEuIIF-xsYjHgg/edit?usp=sharing"",""พรบ!AQ75"")"),0)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IFERROR(__xludf.DUMMYFUNCTION("IMPORTRANGE(""https://docs.google.com/spreadsheets/d/1C3CXT74ZlgGe6_JY_1olB1XN4rF0dxEuIIF-xsYjHgg/edit?usp=sharing"",""กปร!G75"")"),0)</f>
        <v>0</v>
      </c>
      <c r="M126" s="361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241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60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191600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191600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IFERROR(__xludf.DUMMYFUNCTION("IMPORTRANGE(""https://docs.google.com/spreadsheets/d/1C3CXT74ZlgGe6_JY_1olB1XN4rF0dxEuIIF-xsYjHgg/edit?usp=sharing"",""พรบ!AR75"")"),191600)</f>
        <v>191600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52">
        <f ca="1">IFERROR(__xludf.DUMMYFUNCTION("IMPORTRANGE(""https://docs.google.com/spreadsheets/d/1C3CXT74ZlgGe6_JY_1olB1XN4rF0dxEuIIF-xsYjHgg/edit?usp=sharing"",""กปร!H75"")"),94600)</f>
        <v>94600</v>
      </c>
      <c r="M137" s="52">
        <f>M138+M139</f>
        <v>0</v>
      </c>
      <c r="N137" s="52">
        <f t="shared" ref="N137:N141" ca="1" si="34">+IF(L137&gt;0,M137*100/L137,0)</f>
        <v>0</v>
      </c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IFERROR(__xludf.DUMMYFUNCTION("IMPORTRANGE(""https://docs.google.com/spreadsheets/d/1C3CXT74ZlgGe6_JY_1olB1XN4rF0dxEuIIF-xsYjHgg/edit?usp=sharing"",""พรบ!AS75"")"),60)</f>
        <v>60</v>
      </c>
      <c r="J138" s="67">
        <v>0</v>
      </c>
      <c r="K138" s="48">
        <f ca="1">IF(I138&gt;0,J138*100/I138,0)</f>
        <v>0</v>
      </c>
      <c r="L138" s="370">
        <v>64400</v>
      </c>
      <c r="M138" s="371">
        <v>0</v>
      </c>
      <c r="N138" s="370">
        <f t="shared" si="34"/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372">
        <v>30200</v>
      </c>
      <c r="M139" s="371">
        <v>0</v>
      </c>
      <c r="N139" s="370">
        <f t="shared" si="34"/>
        <v>0</v>
      </c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IFERROR(__xludf.DUMMYFUNCTION("IMPORTRANGE(""https://docs.google.com/spreadsheets/d/1C3CXT74ZlgGe6_JY_1olB1XN4rF0dxEuIIF-xsYjHgg/edit?usp=sharing"",""พรบ!AT75"")"),23)</f>
        <v>23</v>
      </c>
      <c r="J140" s="67">
        <v>0</v>
      </c>
      <c r="K140" s="48">
        <f t="shared" ref="K140:K141" ca="1" si="35">IF(I140&gt;0,J140*100/I140,0)</f>
        <v>0</v>
      </c>
      <c r="L140" s="52">
        <f ca="1">IFERROR(__xludf.DUMMYFUNCTION("IMPORTRANGE(""https://docs.google.com/spreadsheets/d/1C3CXT74ZlgGe6_JY_1olB1XN4rF0dxEuIIF-xsYjHgg/edit?usp=sharing"",""กปร!I75"")"),20000)</f>
        <v>20000</v>
      </c>
      <c r="M140" s="361">
        <v>0</v>
      </c>
      <c r="N140" s="52">
        <f t="shared" ca="1" si="34"/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IFERROR(__xludf.DUMMYFUNCTION("IMPORTRANGE(""https://docs.google.com/spreadsheets/d/1C3CXT74ZlgGe6_JY_1olB1XN4rF0dxEuIIF-xsYjHgg/edit?usp=sharing"",""พรบ!AU75"")"),0)</f>
        <v>0</v>
      </c>
      <c r="J141" s="66">
        <v>0</v>
      </c>
      <c r="K141" s="48">
        <f t="shared" ca="1" si="35"/>
        <v>0</v>
      </c>
      <c r="L141" s="52">
        <f ca="1">IFERROR(__xludf.DUMMYFUNCTION("IMPORTRANGE(""https://docs.google.com/spreadsheets/d/1C3CXT74ZlgGe6_JY_1olB1XN4rF0dxEuIIF-xsYjHgg/edit?usp=sharing"",""กปร!J75"")"),30000)</f>
        <v>30000</v>
      </c>
      <c r="M141" s="361">
        <v>0</v>
      </c>
      <c r="N141" s="52">
        <f t="shared" ca="1" si="34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13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19295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IFERROR(__xludf.DUMMYFUNCTION("IMPORTRANGE(""https://docs.google.com/spreadsheets/d/1C3CXT74ZlgGe6_JY_1olB1XN4rF0dxEuIIF-xsYjHgg/edit?usp=sharing"",""พรบ!AY75"")"),19295)</f>
        <v>19295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IFERROR(__xludf.DUMMYFUNCTION("IMPORTRANGE(""https://docs.google.com/spreadsheets/d/1C3CXT74ZlgGe6_JY_1olB1XN4rF0dxEuIIF-xsYjHgg/edit?usp=sharing"",""พรบ!BA75"")"),13)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66"/>
      <c r="K171" s="232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IFERROR(__xludf.DUMMYFUNCTION("IMPORTRANGE(""https://docs.google.com/spreadsheets/d/1C3CXT74ZlgGe6_JY_1olB1XN4rF0dxEuIIF-xsYjHgg/edit?usp=sharing"",""พรบ!BD75"")"),0)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IFERROR(__xludf.DUMMYFUNCTION("IMPORTRANGE(""https://docs.google.com/spreadsheets/d/1C3CXT74ZlgGe6_JY_1olB1XN4rF0dxEuIIF-xsYjHgg/edit?usp=sharing"",""พรบ!BE75"")"),0)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IFERROR(__xludf.DUMMYFUNCTION("IMPORTRANGE(""https://docs.google.com/spreadsheets/d/1C3CXT74ZlgGe6_JY_1olB1XN4rF0dxEuIIF-xsYjHgg/edit?usp=sharing"",""พรบ!BF75"")"),0)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IFERROR(__xludf.DUMMYFUNCTION("IMPORTRANGE(""https://docs.google.com/spreadsheets/d/1C3CXT74ZlgGe6_JY_1olB1XN4rF0dxEuIIF-xsYjHgg/edit?usp=sharing"",""พรบ!BG75"")"),0)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IFERROR(__xludf.DUMMYFUNCTION("IMPORTRANGE(""https://docs.google.com/spreadsheets/d/1C3CXT74ZlgGe6_JY_1olB1XN4rF0dxEuIIF-xsYjHgg/edit?usp=sharing"",""พรบ!BH75"")"),0)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IFERROR(__xludf.DUMMYFUNCTION("IMPORTRANGE(""https://docs.google.com/spreadsheets/d/1C3CXT74ZlgGe6_JY_1olB1XN4rF0dxEuIIF-xsYjHgg/edit?usp=sharing"",""พรบ!BI75"")"),0)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IFERROR(__xludf.DUMMYFUNCTION("IMPORTRANGE(""https://docs.google.com/spreadsheets/d/1C3CXT74ZlgGe6_JY_1olB1XN4rF0dxEuIIF-xsYjHgg/edit?usp=sharing"",""พรบ!BK75"")"),0)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IFERROR(__xludf.DUMMYFUNCTION("IMPORTRANGE(""https://docs.google.com/spreadsheets/d/1C3CXT74ZlgGe6_JY_1olB1XN4rF0dxEuIIF-xsYjHgg/edit?usp=sharing"",""พรบ!BL75"")"),55200)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IFERROR(__xludf.DUMMYFUNCTION("IMPORTRANGE(""https://docs.google.com/spreadsheets/d/1C3CXT74ZlgGe6_JY_1olB1XN4rF0dxEuIIF-xsYjHgg/edit?usp=sharing"",""พรบ!BM75"")"),15)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40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123640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123640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47"/>
      <c r="K203" s="48"/>
      <c r="L203" s="52">
        <f ca="1">IFERROR(__xludf.DUMMYFUNCTION("IMPORTRANGE(""https://docs.google.com/spreadsheets/d/1C3CXT74ZlgGe6_JY_1olB1XN4rF0dxEuIIF-xsYjHgg/edit?usp=sharing"",""พรบ!BP75"")"),123640)</f>
        <v>123640</v>
      </c>
      <c r="M203" s="53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0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0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0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IFERROR(__xludf.DUMMYFUNCTION("IMPORTRANGE(""https://docs.google.com/spreadsheets/d/1C3CXT74ZlgGe6_JY_1olB1XN4rF0dxEuIIF-xsYjHgg/edit?usp=sharing"",""พรบ!BQ75"")"),40)</f>
        <v>40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IFERROR(__xludf.DUMMYFUNCTION("IMPORTRANGE(""https://docs.google.com/spreadsheets/d/1C3CXT74ZlgGe6_JY_1olB1XN4rF0dxEuIIF-xsYjHgg/edit?usp=sharing"",""พรบ!BR75"")"),40)</f>
        <v>40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87">
        <v>0</v>
      </c>
      <c r="K213" s="48"/>
      <c r="L213" s="60"/>
      <c r="M213" s="60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10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395600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395600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IFERROR(__xludf.DUMMYFUNCTION("IMPORTRANGE(""https://docs.google.com/spreadsheets/d/1C3CXT74ZlgGe6_JY_1olB1XN4rF0dxEuIIF-xsYjHgg/edit?usp=sharing"",""พรบ!BU75"")"),395600)</f>
        <v>395600</v>
      </c>
      <c r="M218" s="53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0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IFERROR(__xludf.DUMMYFUNCTION("IMPORTRANGE(""https://docs.google.com/spreadsheets/d/1C3CXT74ZlgGe6_JY_1olB1XN4rF0dxEuIIF-xsYjHgg/edit?usp=sharing"",""พรบ!BV75"")"),10)</f>
        <v>10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780</v>
      </c>
      <c r="J228" s="197">
        <f ca="1">J240</f>
        <v>0</v>
      </c>
      <c r="K228" s="178">
        <f ca="1">IF(I228&gt;0,J228*100/I228,0)</f>
        <v>0</v>
      </c>
      <c r="L228" s="179">
        <f ca="1">L229+L230</f>
        <v>1350040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1350040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IFERROR(__xludf.DUMMYFUNCTION("IMPORTRANGE(""https://docs.google.com/spreadsheets/d/1C3CXT74ZlgGe6_JY_1olB1XN4rF0dxEuIIF-xsYjHgg/edit?usp=sharing"",""พรบ!BX75"")"),306000)</f>
        <v>306000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IFERROR(__xludf.DUMMYFUNCTION("IMPORTRANGE(""https://docs.google.com/spreadsheets/d/1C3CXT74ZlgGe6_JY_1olB1XN4rF0dxEuIIF-xsYjHgg/edit?usp=sharing"",""พรบ!BY75"")"),1044040)</f>
        <v>1044040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IFERROR(__xludf.DUMMYFUNCTION("IMPORTRANGE(""https://docs.google.com/spreadsheets/d/1AGHcLOeeYFL3K4b9R1dSzyJy00PE_ra89DNTVfnxSWM/edit?usp=sharing"",""รวมที่ทำกิน!J64"")"),116)</f>
        <v>116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IFERROR(__xludf.DUMMYFUNCTION("IMPORTRANGE(""https://docs.google.com/spreadsheets/d/1C3CXT74ZlgGe6_JY_1olB1XN4rF0dxEuIIF-xsYjHgg/edit?usp=sharing"",""พรบ!BZ75"")"),8720)</f>
        <v>8720</v>
      </c>
      <c r="J235" s="66">
        <f ca="1">IFERROR(__xludf.DUMMYFUNCTION("IMPORTRANGE(""https://docs.google.com/spreadsheets/d/1AGHcLOeeYFL3K4b9R1dSzyJy00PE_ra89DNTVfnxSWM/edit?usp=sharing"",""รวมที่ทำกิน!L64"")"),1465.95)</f>
        <v>1465.95</v>
      </c>
      <c r="K235" s="200">
        <f t="shared" ca="1" si="52"/>
        <v>16.811353211009173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IFERROR(__xludf.DUMMYFUNCTION("IMPORTRANGE(""https://docs.google.com/spreadsheets/d/1C3CXT74ZlgGe6_JY_1olB1XN4rF0dxEuIIF-xsYjHgg/edit?usp=sharing"",""พรบ!CA75"")"),780)</f>
        <v>780</v>
      </c>
      <c r="J236" s="66">
        <f ca="1">IFERROR(__xludf.DUMMYFUNCTION("IMPORTRANGE(""https://docs.google.com/spreadsheets/d/1AGHcLOeeYFL3K4b9R1dSzyJy00PE_ra89DNTVfnxSWM/edit?usp=sharing"",""รวมที่ทำกิน!O64"")"),107)</f>
        <v>107</v>
      </c>
      <c r="K236" s="200">
        <f t="shared" ca="1" si="52"/>
        <v>13.717948717948717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IFERROR(__xludf.DUMMYFUNCTION("IMPORTRANGE(""https://docs.google.com/spreadsheets/d/1AGHcLOeeYFL3K4b9R1dSzyJy00PE_ra89DNTVfnxSWM/edit?usp=sharing"",""รวมที่ทำกิน!Q64"")"),1253.98)</f>
        <v>1253.98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IFERROR(__xludf.DUMMYFUNCTION("IMPORTRANGE(""https://docs.google.com/spreadsheets/d/1C3CXT74ZlgGe6_JY_1olB1XN4rF0dxEuIIF-xsYjHgg/edit?usp=sharing"",""พรบ!CB75"")"),780)</f>
        <v>780</v>
      </c>
      <c r="J238" s="66">
        <f ca="1">IFERROR(__xludf.DUMMYFUNCTION("IMPORTRANGE(""https://docs.google.com/spreadsheets/d/1AGHcLOeeYFL3K4b9R1dSzyJy00PE_ra89DNTVfnxSWM/edit?usp=sharing"",""รวมที่ทำกิน!S64"")"),0)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IFERROR(__xludf.DUMMYFUNCTION("IMPORTRANGE(""https://docs.google.com/spreadsheets/d/1AGHcLOeeYFL3K4b9R1dSzyJy00PE_ra89DNTVfnxSWM/edit?usp=sharing"",""รวมที่ทำกิน!U64"")"),0)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IFERROR(__xludf.DUMMYFUNCTION("IMPORTRANGE(""https://docs.google.com/spreadsheets/d/1C3CXT74ZlgGe6_JY_1olB1XN4rF0dxEuIIF-xsYjHgg/edit?usp=sharing"",""พรบ!CC75"")"),780)</f>
        <v>780</v>
      </c>
      <c r="J240" s="66">
        <f ca="1">IFERROR(__xludf.DUMMYFUNCTION("IMPORTRANGE(""https://docs.google.com/spreadsheets/d/1AGHcLOeeYFL3K4b9R1dSzyJy00PE_ra89DNTVfnxSWM/edit?usp=sharing"",""รวมที่ทำกิน!W64"")"),0)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IFERROR(__xludf.DUMMYFUNCTION("IMPORTRANGE(""https://docs.google.com/spreadsheets/d/1AGHcLOeeYFL3K4b9R1dSzyJy00PE_ra89DNTVfnxSWM/edit?usp=sharing"",""รวมที่ทำกิน!Y64"")"),0)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2963478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IFERROR(__xludf.DUMMYFUNCTION("IMPORTRANGE(""https://docs.google.com/spreadsheets/d/1C3CXT74ZlgGe6_JY_1olB1XN4rF0dxEuIIF-xsYjHgg/edit?usp=sharing"",""งบกองทุน!d75"")"),0)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IFERROR(__xludf.DUMMYFUNCTION("IMPORTRANGE(""https://docs.google.com/spreadsheets/d/1C3CXT74ZlgGe6_JY_1olB1XN4rF0dxEuIIF-xsYjHgg/edit?usp=sharing"",""งบกองทุน!e75"")"),0)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IFERROR(__xludf.DUMMYFUNCTION("IMPORTRANGE(""https://docs.google.com/spreadsheets/d/1C3CXT74ZlgGe6_JY_1olB1XN4rF0dxEuIIF-xsYjHgg/edit?usp=sharing"",""งบกองทุน!f75"")"),0)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232">
        <f t="shared" ref="K262:K268" ca="1" si="60">IF(I262&gt;0,J262*100/I262,0)</f>
        <v>0</v>
      </c>
      <c r="L262" s="52"/>
      <c r="M262" s="52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IFERROR(__xludf.DUMMYFUNCTION("IMPORTRANGE(""https://docs.google.com/spreadsheets/d/1C3CXT74ZlgGe6_JY_1olB1XN4rF0dxEuIIF-xsYjHgg/edit?usp=sharing"",""งบกองทุน!H75"")"),0)</f>
        <v>0</v>
      </c>
      <c r="J263" s="66">
        <f>J267</f>
        <v>0</v>
      </c>
      <c r="K263" s="232">
        <f t="shared" ca="1" si="60"/>
        <v>0</v>
      </c>
      <c r="L263" s="52"/>
      <c r="M263" s="52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IFERROR(__xludf.DUMMYFUNCTION("IMPORTRANGE(""https://docs.google.com/spreadsheets/d/1C3CXT74ZlgGe6_JY_1olB1XN4rF0dxEuIIF-xsYjHgg/edit?usp=sharing"",""งบกองทุน!i75"")"),0)</f>
        <v>0</v>
      </c>
      <c r="J264" s="66">
        <v>0</v>
      </c>
      <c r="K264" s="232">
        <f t="shared" ca="1" si="60"/>
        <v>0</v>
      </c>
      <c r="L264" s="52"/>
      <c r="M264" s="52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232">
        <f t="shared" ca="1" si="60"/>
        <v>0</v>
      </c>
      <c r="L265" s="52"/>
      <c r="M265" s="52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IFERROR(__xludf.DUMMYFUNCTION("IMPORTRANGE(""https://docs.google.com/spreadsheets/d/1C3CXT74ZlgGe6_JY_1olB1XN4rF0dxEuIIF-xsYjHgg/edit?usp=sharing"",""งบกองทุน!k75"")"),0)</f>
        <v>0</v>
      </c>
      <c r="J266" s="66">
        <v>0</v>
      </c>
      <c r="K266" s="232">
        <f t="shared" ca="1" si="60"/>
        <v>0</v>
      </c>
      <c r="L266" s="52"/>
      <c r="M266" s="52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232">
        <f t="shared" ca="1" si="60"/>
        <v>0</v>
      </c>
      <c r="L267" s="52"/>
      <c r="M267" s="52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IFERROR(__xludf.DUMMYFUNCTION("IMPORTRANGE(""https://docs.google.com/spreadsheets/d/1C3CXT74ZlgGe6_JY_1olB1XN4rF0dxEuIIF-xsYjHgg/edit?usp=sharing"",""งบกองทุน!m75"")"),0)</f>
        <v>0</v>
      </c>
      <c r="J268" s="66">
        <v>0</v>
      </c>
      <c r="K268" s="232">
        <f t="shared" ca="1" si="60"/>
        <v>0</v>
      </c>
      <c r="L268" s="52"/>
      <c r="M268" s="52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232"/>
      <c r="L269" s="52"/>
      <c r="M269" s="52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232">
        <f t="shared" ref="K270:K272" ca="1" si="62">IF(I270&gt;0,J270*100/I270,0)</f>
        <v>0</v>
      </c>
      <c r="L270" s="52"/>
      <c r="M270" s="52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IFERROR(__xludf.DUMMYFUNCTION("IMPORTRANGE(""https://docs.google.com/spreadsheets/d/1C3CXT74ZlgGe6_JY_1olB1XN4rF0dxEuIIF-xsYjHgg/edit?usp=sharing"",""งบกองทุน!o75"")"),0)</f>
        <v>0</v>
      </c>
      <c r="J271" s="66">
        <v>0</v>
      </c>
      <c r="K271" s="232">
        <f t="shared" ca="1" si="62"/>
        <v>0</v>
      </c>
      <c r="L271" s="52"/>
      <c r="M271" s="52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IFERROR(__xludf.DUMMYFUNCTION("IMPORTRANGE(""https://docs.google.com/spreadsheets/d/1C3CXT74ZlgGe6_JY_1olB1XN4rF0dxEuIIF-xsYjHgg/edit?usp=sharing"",""งบกองทุน!p75"")"),0)</f>
        <v>0</v>
      </c>
      <c r="J272" s="66">
        <v>0</v>
      </c>
      <c r="K272" s="232">
        <f t="shared" ca="1" si="62"/>
        <v>0</v>
      </c>
      <c r="L272" s="52"/>
      <c r="M272" s="52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232"/>
      <c r="L273" s="52"/>
      <c r="M273" s="52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232"/>
      <c r="L274" s="52"/>
      <c r="M274" s="52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IFERROR(__xludf.DUMMYFUNCTION("IMPORTRANGE(""https://docs.google.com/spreadsheets/d/1C3CXT74ZlgGe6_JY_1olB1XN4rF0dxEuIIF-xsYjHgg/edit?usp=sharing"",""งบกองทุน!r75"")"),0)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IFERROR(__xludf.DUMMYFUNCTION("IMPORTRANGE(""https://docs.google.com/spreadsheets/d/1C3CXT74ZlgGe6_JY_1olB1XN4rF0dxEuIIF-xsYjHgg/edit?usp=sharing"",""งบกองทุน!s75"")"),1028520)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IFERROR(__xludf.DUMMYFUNCTION("IMPORTRANGE(""https://docs.google.com/spreadsheets/d/1C3CXT74ZlgGe6_JY_1olB1XN4rF0dxEuIIF-xsYjHgg/edit?usp=sharing"",""งบกองทุน!v75"")"),100)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IFERROR(__xludf.DUMMYFUNCTION("IMPORTRANGE(""https://docs.google.com/spreadsheets/d/1C3CXT74ZlgGe6_JY_1olB1XN4rF0dxEuIIF-xsYjHgg/edit?usp=sharing"",""งบกองทุน!w75"")"),1000)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IFERROR(__xludf.DUMMYFUNCTION("IMPORTRANGE(""https://docs.google.com/spreadsheets/d/1C3CXT74ZlgGe6_JY_1olB1XN4rF0dxEuIIF-xsYjHgg/edit?usp=sharing"",""งบกองทุน!x75"")"),100)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195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196620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65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196620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IFERROR(__xludf.DUMMYFUNCTION("IMPORTRANGE(""https://docs.google.com/spreadsheets/d/1C3CXT74ZlgGe6_JY_1olB1XN4rF0dxEuIIF-xsYjHgg/edit?usp=sharing"",""งบกองทุน!z75"")"),0)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IFERROR(__xludf.DUMMYFUNCTION("IMPORTRANGE(""https://docs.google.com/spreadsheets/d/1C3CXT74ZlgGe6_JY_1olB1XN4rF0dxEuIIF-xsYjHgg/edit?usp=sharing"",""งบกองทุน!aa75"")"),196620)</f>
        <v>196620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65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IFERROR(__xludf.DUMMYFUNCTION("IMPORTRANGE(""https://docs.google.com/spreadsheets/d/1C3CXT74ZlgGe6_JY_1olB1XN4rF0dxEuIIF-xsYjHgg/edit?usp=sharing"",""งบกองทุน!ae75"")"),15)</f>
        <v>15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IFERROR(__xludf.DUMMYFUNCTION("IMPORTRANGE(""https://docs.google.com/spreadsheets/d/1C3CXT74ZlgGe6_JY_1olB1XN4rF0dxEuIIF-xsYjHgg/edit?usp=sharing"",""งบกองทุน!ad75"")"),45)</f>
        <v>45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IFERROR(__xludf.DUMMYFUNCTION("IMPORTRANGE(""https://docs.google.com/spreadsheets/d/1C3CXT74ZlgGe6_JY_1olB1XN4rF0dxEuIIF-xsYjHgg/edit?usp=sharing"",""งบกองทุน!af75"")"),15)</f>
        <v>15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IFERROR(__xludf.DUMMYFUNCTION("IMPORTRANGE(""https://docs.google.com/spreadsheets/d/1C3CXT74ZlgGe6_JY_1olB1XN4rF0dxEuIIF-xsYjHgg/edit?usp=sharing"",""งบกองทุน!ag75"")"),15)</f>
        <v>15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IFERROR(__xludf.DUMMYFUNCTION("IMPORTRANGE(""https://docs.google.com/spreadsheets/d/1C3CXT74ZlgGe6_JY_1olB1XN4rF0dxEuIIF-xsYjHgg/edit?usp=sharing"",""งบกองทุน!ai75"")"),26)</f>
        <v>26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IFERROR(__xludf.DUMMYFUNCTION("IMPORTRANGE(""https://docs.google.com/spreadsheets/d/1C3CXT74ZlgGe6_JY_1olB1XN4rF0dxEuIIF-xsYjHgg/edit?usp=sharing"",""งบกองทุน!ah75"")"),78)</f>
        <v>78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IFERROR(__xludf.DUMMYFUNCTION("IMPORTRANGE(""https://docs.google.com/spreadsheets/d/1C3CXT74ZlgGe6_JY_1olB1XN4rF0dxEuIIF-xsYjHgg/edit?usp=sharing"",""งบกองทุน!aj75"")"),26)</f>
        <v>26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IFERROR(__xludf.DUMMYFUNCTION("IMPORTRANGE(""https://docs.google.com/spreadsheets/d/1C3CXT74ZlgGe6_JY_1olB1XN4rF0dxEuIIF-xsYjHgg/edit?usp=sharing"",""งบกองทุน!ak75"")"),26)</f>
        <v>26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IFERROR(__xludf.DUMMYFUNCTION("IMPORTRANGE(""https://docs.google.com/spreadsheets/d/1C3CXT74ZlgGe6_JY_1olB1XN4rF0dxEuIIF-xsYjHgg/edit?usp=sharing"",""งบกองทุน!al75"")"),26)</f>
        <v>26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IFERROR(__xludf.DUMMYFUNCTION("IMPORTRANGE(""https://docs.google.com/spreadsheets/d/1C3CXT74ZlgGe6_JY_1olB1XN4rF0dxEuIIF-xsYjHgg/edit?usp=sharing"",""งบกองทุน!an75"")"),24)</f>
        <v>24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IFERROR(__xludf.DUMMYFUNCTION("IMPORTRANGE(""https://docs.google.com/spreadsheets/d/1C3CXT74ZlgGe6_JY_1olB1XN4rF0dxEuIIF-xsYjHgg/edit?usp=sharing"",""งบกองทุน!am75"")"),72)</f>
        <v>72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IFERROR(__xludf.DUMMYFUNCTION("IMPORTRANGE(""https://docs.google.com/spreadsheets/d/1C3CXT74ZlgGe6_JY_1olB1XN4rF0dxEuIIF-xsYjHgg/edit?usp=sharing"",""งบกองทุน!ao75"")"),24)</f>
        <v>24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IFERROR(__xludf.DUMMYFUNCTION("IMPORTRANGE(""https://docs.google.com/spreadsheets/d/1C3CXT74ZlgGe6_JY_1olB1XN4rF0dxEuIIF-xsYjHgg/edit?usp=sharing"",""งบกองทุน!ap75"")"),24)</f>
        <v>24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41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IFERROR(__xludf.DUMMYFUNCTION("IMPORTRANGE(""https://docs.google.com/spreadsheets/d/1C3CXT74ZlgGe6_JY_1olB1XN4rF0dxEuIIF-xsYjHgg/edit?usp=sharing"",""งบกองทุน!ar75"")"),15)</f>
        <v>15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IFERROR(__xludf.DUMMYFUNCTION("IMPORTRANGE(""https://docs.google.com/spreadsheets/d/1C3CXT74ZlgGe6_JY_1olB1XN4rF0dxEuIIF-xsYjHgg/edit?usp=sharing"",""งบกองทุน!as75"")"),26)</f>
        <v>26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IFERROR(__xludf.DUMMYFUNCTION("IMPORTRANGE(""https://docs.google.com/spreadsheets/d/1C3CXT74ZlgGe6_JY_1olB1XN4rF0dxEuIIF-xsYjHgg/edit?usp=sharing"",""งบกองทุน!au75"")"),0)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IFERROR(__xludf.DUMMYFUNCTION("IMPORTRANGE(""https://docs.google.com/spreadsheets/d/1C3CXT74ZlgGe6_JY_1olB1XN4rF0dxEuIIF-xsYjHgg/edit?usp=sharing"",""งบกองทุน!av75"")"),83000)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IFERROR(__xludf.DUMMYFUNCTION("IMPORTRANGE(""https://docs.google.com/spreadsheets/d/1C3CXT74ZlgGe6_JY_1olB1XN4rF0dxEuIIF-xsYjHgg/edit?usp=sharing"",""งบกองทุน!ay75"")"),15)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IFERROR(__xludf.DUMMYFUNCTION("IMPORTRANGE(""https://docs.google.com/spreadsheets/d/1C3CXT74ZlgGe6_JY_1olB1XN4rF0dxEuIIF-xsYjHgg/edit?usp=sharing"",""งบกองทุน!az75"")"),0)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IFERROR(__xludf.DUMMYFUNCTION("IMPORTRANGE(""https://docs.google.com/spreadsheets/d/1C3CXT74ZlgGe6_JY_1olB1XN4rF0dxEuIIF-xsYjHgg/edit?usp=sharing"",""งบกองทุน!Ba75"")"),0)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60509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1071935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1071935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IFERROR(__xludf.DUMMYFUNCTION("IMPORTRANGE(""https://docs.google.com/spreadsheets/d/1C3CXT74ZlgGe6_JY_1olB1XN4rF0dxEuIIF-xsYjHgg/edit?usp=sharing"",""งบกองทุน!Bc75"")"),0)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IFERROR(__xludf.DUMMYFUNCTION("IMPORTRANGE(""https://docs.google.com/spreadsheets/d/1C3CXT74ZlgGe6_JY_1olB1XN4rF0dxEuIIF-xsYjHgg/edit?usp=sharing"",""งบกองทุน!Bd75"")"),1071935)</f>
        <v>1071935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IFERROR(__xludf.DUMMYFUNCTION("IMPORTRANGE(""https://docs.google.com/spreadsheets/d/1C3CXT74ZlgGe6_JY_1olB1XN4rF0dxEuIIF-xsYjHgg/edit?usp=sharing"",""งบกองทุน!BE75"")"),60509)</f>
        <v>60509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IFERROR(__xludf.DUMMYFUNCTION("IMPORTRANGE(""https://docs.google.com/spreadsheets/d/1C3CXT74ZlgGe6_JY_1olB1XN4rF0dxEuIIF-xsYjHgg/edit?usp=sharing"",""งบกองทุน!BE75"")"),60509)</f>
        <v>60509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IFERROR(__xludf.DUMMYFUNCTION("IMPORTRANGE(""https://docs.google.com/spreadsheets/d/1C3CXT74ZlgGe6_JY_1olB1XN4rF0dxEuIIF-xsYjHgg/edit?usp=sharing"",""งบกองทุน!BF75"")"),7113)</f>
        <v>7113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60509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7113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60509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7113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IFERROR(__xludf.DUMMYFUNCTION("IMPORTRANGE(""https://docs.google.com/spreadsheets/d/1C3CXT74ZlgGe6_JY_1olB1XN4rF0dxEuIIF-xsYjHgg/edit?usp=sharing"",""งบกองทุน!cd75"")"),29184)</f>
        <v>29184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IFERROR(__xludf.DUMMYFUNCTION("IMPORTRANGE(""https://docs.google.com/spreadsheets/d/1C3CXT74ZlgGe6_JY_1olB1XN4rF0dxEuIIF-xsYjHgg/edit?usp=sharing"",""งบกองทุน!cd75"")"),29184)</f>
        <v>29184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IFERROR(__xludf.DUMMYFUNCTION("IMPORTRANGE(""https://docs.google.com/spreadsheets/d/1C3CXT74ZlgGe6_JY_1olB1XN4rF0dxEuIIF-xsYjHgg/edit?usp=sharing"",""งบกองทุน!cc75"")"),1782)</f>
        <v>1782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IFERROR(__xludf.DUMMYFUNCTION("IMPORTRANGE(""https://docs.google.com/spreadsheets/d/1C3CXT74ZlgGe6_JY_1olB1XN4rF0dxEuIIF-xsYjHgg/edit?usp=sharing"",""งบกองทุน!cz75"")"),0)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IFERROR(__xludf.DUMMYFUNCTION("IMPORTRANGE(""https://docs.google.com/spreadsheets/d/1C3CXT74ZlgGe6_JY_1olB1XN4rF0dxEuIIF-xsYjHgg/edit?usp=sharing"",""งบกองทุน!cz75"")"),0)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IFERROR(__xludf.DUMMYFUNCTION("IMPORTRANGE(""https://docs.google.com/spreadsheets/d/1C3CXT74ZlgGe6_JY_1olB1XN4rF0dxEuIIF-xsYjHgg/edit?usp=sharing"",""งบกองทุน!cy75"")"),0)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IFERROR(__xludf.DUMMYFUNCTION("IMPORTRANGE(""https://docs.google.com/spreadsheets/d/1C3CXT74ZlgGe6_JY_1olB1XN4rF0dxEuIIF-xsYjHgg/edit?usp=sharing"",""งบกองทุน!db75"")"),0)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IFERROR(__xludf.DUMMYFUNCTION("IMPORTRANGE(""https://docs.google.com/spreadsheets/d/1C3CXT74ZlgGe6_JY_1olB1XN4rF0dxEuIIF-xsYjHgg/edit?usp=sharing"",""งบกองทุน!da75"")"),0)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IFERROR(__xludf.DUMMYFUNCTION("IMPORTRANGE(""https://docs.google.com/spreadsheets/d/1C3CXT74ZlgGe6_JY_1olB1XN4rF0dxEuIIF-xsYjHgg/edit?usp=sharing"",""งบกองทุน!dd75"")"),0)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IFERROR(__xludf.DUMMYFUNCTION("IMPORTRANGE(""https://docs.google.com/spreadsheets/d/1C3CXT74ZlgGe6_JY_1olB1XN4rF0dxEuIIF-xsYjHgg/edit?usp=sharing"",""งบกองทุน!dc75"")"),0)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IFERROR(__xludf.DUMMYFUNCTION("IMPORTRANGE(""https://docs.google.com/spreadsheets/d/1C3CXT74ZlgGe6_JY_1olB1XN4rF0dxEuIIF-xsYjHgg/edit?usp=sharing"",""งบกองทุน!df75"")"),0)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IFERROR(__xludf.DUMMYFUNCTION("IMPORTRANGE(""https://docs.google.com/spreadsheets/d/1C3CXT74ZlgGe6_JY_1olB1XN4rF0dxEuIIF-xsYjHgg/edit?usp=sharing"",""งบกองทุน!de75"")"),0)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IFERROR(__xludf.DUMMYFUNCTION("IMPORTRANGE(""https://docs.google.com/spreadsheets/d/1C3CXT74ZlgGe6_JY_1olB1XN4rF0dxEuIIF-xsYjHgg/edit?usp=sharing"",""งบกองทุน!dn75"")"),0)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IFERROR(__xludf.DUMMYFUNCTION("IMPORTRANGE(""https://docs.google.com/spreadsheets/d/1C3CXT74ZlgGe6_JY_1olB1XN4rF0dxEuIIF-xsYjHgg/edit?usp=sharing"",""งบกองทุน!do75"")"),34340)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IFERROR(__xludf.DUMMYFUNCTION("IMPORTRANGE(""https://docs.google.com/spreadsheets/d/1C3CXT74ZlgGe6_JY_1olB1XN4rF0dxEuIIF-xsYjHgg/edit?usp=sharing"",""งบกองทุน!dq75"")"),22)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IFERROR(__xludf.DUMMYFUNCTION("IMPORTRANGE(""https://docs.google.com/spreadsheets/d/1C3CXT74ZlgGe6_JY_1olB1XN4rF0dxEuIIF-xsYjHgg/edit?usp=sharing"",""งบกองทุน!dr75"")"),22)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66"/>
      <c r="K445" s="232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66"/>
      <c r="K446" s="232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66"/>
      <c r="K447" s="232"/>
      <c r="L447" s="52">
        <f ca="1">IFERROR(__xludf.DUMMYFUNCTION("IMPORTRANGE(""https://docs.google.com/spreadsheets/d/1C3CXT74ZlgGe6_JY_1olB1XN4rF0dxEuIIF-xsYjHgg/edit?usp=sharing"",""งบกองทุน!dt75"")"),0)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IFERROR(__xludf.DUMMYFUNCTION("IMPORTRANGE(""https://docs.google.com/spreadsheets/d/1C3CXT74ZlgGe6_JY_1olB1XN4rF0dxEuIIF-xsYjHgg/edit?usp=sharing"",""งบกองทุน!du75"")"),0)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IFERROR(__xludf.DUMMYFUNCTION("IMPORTRANGE(""https://docs.google.com/spreadsheets/d/1C3CXT74ZlgGe6_JY_1olB1XN4rF0dxEuIIF-xsYjHgg/edit?usp=sharing"",""งบกองทุน!dw75"")"),0)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IFERROR(__xludf.DUMMYFUNCTION("IMPORTRANGE(""https://docs.google.com/spreadsheets/d/1C3CXT74ZlgGe6_JY_1olB1XN4rF0dxEuIIF-xsYjHgg/edit?usp=sharing"",""งบกองทุน!dx75"")"),0)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IFERROR(__xludf.DUMMYFUNCTION("IMPORTRANGE(""https://docs.google.com/spreadsheets/d/1C3CXT74ZlgGe6_JY_1olB1XN4rF0dxEuIIF-xsYjHgg/edit?usp=sharing"",""งบกองทุน!dy75"")"),0)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IFERROR(__xludf.DUMMYFUNCTION("IMPORTRANGE(""https://docs.google.com/spreadsheets/d/1C3CXT74ZlgGe6_JY_1olB1XN4rF0dxEuIIF-xsYjHgg/edit?usp=sharing"",""งบกองทุน!dz75"")"),0)</f>
        <v>0</v>
      </c>
      <c r="J456" s="66">
        <v>0</v>
      </c>
      <c r="K456" s="232">
        <f t="shared" ca="1" si="100"/>
        <v>0</v>
      </c>
      <c r="L456" s="52"/>
      <c r="M456" s="52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3950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165600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165600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IFERROR(__xludf.DUMMYFUNCTION("IMPORTRANGE(""https://docs.google.com/spreadsheets/d/1C3CXT74ZlgGe6_JY_1olB1XN4rF0dxEuIIF-xsYjHgg/edit?usp=sharing"",""งบกองทุน!Eb75"")"),0)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IFERROR(__xludf.DUMMYFUNCTION("IMPORTRANGE(""https://docs.google.com/spreadsheets/d/1C3CXT74ZlgGe6_JY_1olB1XN4rF0dxEuIIF-xsYjHgg/edit?usp=sharing"",""งบกองทุน!Ec75"")"),165600)</f>
        <v>165600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IFERROR(__xludf.DUMMYFUNCTION("IMPORTRANGE(""https://docs.google.com/spreadsheets/d/1C3CXT74ZlgGe6_JY_1olB1XN4rF0dxEuIIF-xsYjHgg/edit?usp=sharing"",""งบกองทุน!Ed75"")"),3950)</f>
        <v>3950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213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370563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370563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IFERROR(__xludf.DUMMYFUNCTION("IMPORTRANGE(""https://docs.google.com/spreadsheets/d/1C3CXT74ZlgGe6_JY_1olB1XN4rF0dxEuIIF-xsYjHgg/edit?usp=sharing"",""งบกองทุน!Ek75"")"),0)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IFERROR(__xludf.DUMMYFUNCTION("IMPORTRANGE(""https://docs.google.com/spreadsheets/d/1C3CXT74ZlgGe6_JY_1olB1XN4rF0dxEuIIF-xsYjHgg/edit?usp=sharing"",""งบกองทุน!El75"")"),370563)</f>
        <v>370563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IFERROR(__xludf.DUMMYFUNCTION("IMPORTRANGE(""https://docs.google.com/spreadsheets/d/1C3CXT74ZlgGe6_JY_1olB1XN4rF0dxEuIIF-xsYjHgg/edit?usp=sharing"",""งบกองทุน!Em75"")"),213)</f>
        <v>213</v>
      </c>
      <c r="J482" s="66">
        <f ca="1">IFERROR(__xludf.DUMMYFUNCTION("IMPORTRANGE(""https://docs.google.com/spreadsheets/d/1AGHcLOeeYFL3K4b9R1dSzyJy00PE_ra89DNTVfnxSWM/edit?usp=sharing"",""รวมที่ชุมชน!G64"")"),1)</f>
        <v>1</v>
      </c>
      <c r="K482" s="48">
        <f t="shared" ref="K482:K489" ca="1" si="107">IF(I482&gt;0,J482*100/I482,0)</f>
        <v>0.46948356807511737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IFERROR(__xludf.DUMMYFUNCTION("IMPORTRANGE(""https://docs.google.com/spreadsheets/d/1C3CXT74ZlgGe6_JY_1olB1XN4rF0dxEuIIF-xsYjHgg/edit?usp=sharing"",""งบกองทุน!En75"")"),0)</f>
        <v>0</v>
      </c>
      <c r="J483" s="66">
        <f ca="1">IFERROR(__xludf.DUMMYFUNCTION("IMPORTRANGE(""https://docs.google.com/spreadsheets/d/1AGHcLOeeYFL3K4b9R1dSzyJy00PE_ra89DNTVfnxSWM/edit?usp=sharing"",""รวมที่ชุมชน!H64"")"),0.21)</f>
        <v>0.21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IFERROR(__xludf.DUMMYFUNCTION("IMPORTRANGE(""https://docs.google.com/spreadsheets/d/1C3CXT74ZlgGe6_JY_1olB1XN4rF0dxEuIIF-xsYjHgg/edit?usp=sharing"",""งบกองทุน!Eo75"")"),213)</f>
        <v>213</v>
      </c>
      <c r="J484" s="66">
        <f ca="1">IFERROR(__xludf.DUMMYFUNCTION("IMPORTRANGE(""https://docs.google.com/spreadsheets/d/1AGHcLOeeYFL3K4b9R1dSzyJy00PE_ra89DNTVfnxSWM/edit?usp=sharing"",""รวมที่ชุมชน!J64"")"),0)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IFERROR(__xludf.DUMMYFUNCTION("IMPORTRANGE(""https://docs.google.com/spreadsheets/d/1C3CXT74ZlgGe6_JY_1olB1XN4rF0dxEuIIF-xsYjHgg/edit?usp=sharing"",""งบกองทุน!Ep75"")"),0)</f>
        <v>0</v>
      </c>
      <c r="J485" s="66">
        <f ca="1">IFERROR(__xludf.DUMMYFUNCTION("IMPORTRANGE(""https://docs.google.com/spreadsheets/d/1AGHcLOeeYFL3K4b9R1dSzyJy00PE_ra89DNTVfnxSWM/edit?usp=sharing"",""รวมที่ชุมชน!L64"")"),0)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IFERROR(__xludf.DUMMYFUNCTION("IMPORTRANGE(""https://docs.google.com/spreadsheets/d/1C3CXT74ZlgGe6_JY_1olB1XN4rF0dxEuIIF-xsYjHgg/edit?usp=sharing"",""งบกองทุน!Eq75"")"),213)</f>
        <v>213</v>
      </c>
      <c r="J486" s="66">
        <f ca="1">IFERROR(__xludf.DUMMYFUNCTION("IMPORTRANGE(""https://docs.google.com/spreadsheets/d/1AGHcLOeeYFL3K4b9R1dSzyJy00PE_ra89DNTVfnxSWM/edit?usp=sharing"",""รวมที่ชุมชน!S64"")"),0)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IFERROR(__xludf.DUMMYFUNCTION("IMPORTRANGE(""https://docs.google.com/spreadsheets/d/1C3CXT74ZlgGe6_JY_1olB1XN4rF0dxEuIIF-xsYjHgg/edit?usp=sharing"",""งบกองทุน!Er75"")"),0)</f>
        <v>0</v>
      </c>
      <c r="J487" s="66">
        <f ca="1">IFERROR(__xludf.DUMMYFUNCTION("IMPORTRANGE(""https://docs.google.com/spreadsheets/d/1AGHcLOeeYFL3K4b9R1dSzyJy00PE_ra89DNTVfnxSWM/edit?usp=sharing"",""รวมที่ชุมชน!U64"")"),0)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IFERROR(__xludf.DUMMYFUNCTION("IMPORTRANGE(""https://docs.google.com/spreadsheets/d/1C3CXT74ZlgGe6_JY_1olB1XN4rF0dxEuIIF-xsYjHgg/edit?usp=sharing"",""งบกองทุน!Es75"")"),213)</f>
        <v>213</v>
      </c>
      <c r="J488" s="66">
        <f ca="1">IFERROR(__xludf.DUMMYFUNCTION("IMPORTRANGE(""https://docs.google.com/spreadsheets/d/1AGHcLOeeYFL3K4b9R1dSzyJy00PE_ra89DNTVfnxSWM/edit?usp=sharing"",""รวมที่ชุมชน!V64"")"),0)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IFERROR(__xludf.DUMMYFUNCTION("IMPORTRANGE(""https://docs.google.com/spreadsheets/d/1C3CXT74ZlgGe6_JY_1olB1XN4rF0dxEuIIF-xsYjHgg/edit?usp=sharing"",""งบกองทุน!Et75"")"),0)</f>
        <v>0</v>
      </c>
      <c r="J489" s="111">
        <f ca="1">IFERROR(__xludf.DUMMYFUNCTION("IMPORTRANGE(""https://docs.google.com/spreadsheets/d/1AGHcLOeeYFL3K4b9R1dSzyJy00PE_ra89DNTVfnxSWM/edit?usp=sharing"",""รวมที่ชุมชน!X64"")"),0)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100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12900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12900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IFERROR(__xludf.DUMMYFUNCTION("IMPORTRANGE(""https://docs.google.com/spreadsheets/d/1C3CXT74ZlgGe6_JY_1olB1XN4rF0dxEuIIF-xsYjHgg/edit?usp=sharing"",""งบกองทุน!Ev75"")"),0)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IFERROR(__xludf.DUMMYFUNCTION("IMPORTRANGE(""https://docs.google.com/spreadsheets/d/1C3CXT74ZlgGe6_JY_1olB1XN4rF0dxEuIIF-xsYjHgg/edit?usp=sharing"",""งบกองทุน!Ew75"")"),12900)</f>
        <v>12900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IFERROR(__xludf.DUMMYFUNCTION("IMPORTRANGE(""https://docs.google.com/spreadsheets/d/1C3CXT74ZlgGe6_JY_1olB1XN4rF0dxEuIIF-xsYjHgg/edit?usp=sharing"",""งบกองทุน!EZ75"")"),100)</f>
        <v>100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IFERROR(__xludf.DUMMYFUNCTION("IMPORTRANGE(""https://docs.google.com/spreadsheets/d/1C3CXT74ZlgGe6_JY_1olB1XN4rF0dxEuIIF-xsYjHgg/edit?usp=sharing"",""งบกองทุน!ff75"")"),0)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IFERROR(__xludf.DUMMYFUNCTION("IMPORTRANGE(""https://docs.google.com/spreadsheets/d/1muirlRDkqiswvy_NRZ3Yh955hx-PF6_HhssUYiSJj8o/edit?usp=sharing"",""กองทุน!D75"")"),8232665.41)</f>
        <v>8232665.4100000001</v>
      </c>
      <c r="J521" s="199">
        <f ca="1">IFERROR(__xludf.DUMMYFUNCTION("IMPORTRANGE(""https://docs.google.com/spreadsheets/d/1muirlRDkqiswvy_NRZ3Yh955hx-PF6_HhssUYiSJj8o/edit?usp=sharing"",""กองทุน!F75"")"),30000)</f>
        <v>30000</v>
      </c>
      <c r="K521" s="200">
        <f t="shared" ref="K521:K528" ca="1" si="116">IF(I521&gt;0,J521*100/I521,0)</f>
        <v>0.36440203149225275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IFERROR(__xludf.DUMMYFUNCTION("IMPORTRANGE(""https://docs.google.com/spreadsheets/d/1muirlRDkqiswvy_NRZ3Yh955hx-PF6_HhssUYiSJj8o/edit?usp=sharing"",""กองทุน!C75"")"),586)</f>
        <v>586</v>
      </c>
      <c r="J522" s="199">
        <f ca="1">IFERROR(__xludf.DUMMYFUNCTION("IMPORTRANGE(""https://docs.google.com/spreadsheets/d/1muirlRDkqiswvy_NRZ3Yh955hx-PF6_HhssUYiSJj8o/edit?usp=sharing"",""กองทุน!E75"")"),1)</f>
        <v>1</v>
      </c>
      <c r="K522" s="200">
        <f t="shared" ca="1" si="116"/>
        <v>0.17064846416382254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IFERROR(__xludf.DUMMYFUNCTION("IMPORTRANGE(""https://docs.google.com/spreadsheets/d/1muirlRDkqiswvy_NRZ3Yh955hx-PF6_HhssUYiSJj8o/edit?usp=sharing"",""กองทุน!I75"")"),5399272.15999999)</f>
        <v>5399272.1599999899</v>
      </c>
      <c r="J523" s="199">
        <f ca="1">IFERROR(__xludf.DUMMYFUNCTION("IMPORTRANGE(""https://docs.google.com/spreadsheets/d/1muirlRDkqiswvy_NRZ3Yh955hx-PF6_HhssUYiSJj8o/edit?usp=sharing"",""กองทุน!K75"")"),61918.68)</f>
        <v>61918.68</v>
      </c>
      <c r="K523" s="200">
        <f t="shared" ca="1" si="116"/>
        <v>1.146796793440398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IFERROR(__xludf.DUMMYFUNCTION("IMPORTRANGE(""https://docs.google.com/spreadsheets/d/1muirlRDkqiswvy_NRZ3Yh955hx-PF6_HhssUYiSJj8o/edit?usp=sharing"",""กองทุน!H75"")"),242)</f>
        <v>242</v>
      </c>
      <c r="J524" s="199">
        <f ca="1">IFERROR(__xludf.DUMMYFUNCTION("IMPORTRANGE(""https://docs.google.com/spreadsheets/d/1muirlRDkqiswvy_NRZ3Yh955hx-PF6_HhssUYiSJj8o/edit?usp=sharing"",""กองทุน!J75"")"),11)</f>
        <v>11</v>
      </c>
      <c r="K524" s="200">
        <f t="shared" ca="1" si="116"/>
        <v>4.5454545454545459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IFERROR(__xludf.DUMMYFUNCTION("IMPORTRANGE(""https://docs.google.com/spreadsheets/d/1muirlRDkqiswvy_NRZ3Yh955hx-PF6_HhssUYiSJj8o/edit?usp=sharing"",""กองทุน!N75"")"),0)</f>
        <v>0</v>
      </c>
      <c r="J525" s="199">
        <f ca="1">IFERROR(__xludf.DUMMYFUNCTION("IMPORTRANGE(""https://docs.google.com/spreadsheets/d/1muirlRDkqiswvy_NRZ3Yh955hx-PF6_HhssUYiSJj8o/edit?usp=sharing"",""กองทุน!P75"")"),0)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IFERROR(__xludf.DUMMYFUNCTION("IMPORTRANGE(""https://docs.google.com/spreadsheets/d/1muirlRDkqiswvy_NRZ3Yh955hx-PF6_HhssUYiSJj8o/edit?usp=sharing"",""กองทุน!M75"")"),0)</f>
        <v>0</v>
      </c>
      <c r="J526" s="199">
        <f ca="1">IFERROR(__xludf.DUMMYFUNCTION("IMPORTRANGE(""https://docs.google.com/spreadsheets/d/1muirlRDkqiswvy_NRZ3Yh955hx-PF6_HhssUYiSJj8o/edit?usp=sharing"",""กองทุน!O75"")"),0)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IFERROR(__xludf.DUMMYFUNCTION("IMPORTRANGE(""https://docs.google.com/spreadsheets/d/1muirlRDkqiswvy_NRZ3Yh955hx-PF6_HhssUYiSJj8o/edit?usp=sharing"",""กองทุน!S75"")"),10000000)</f>
        <v>10000000</v>
      </c>
      <c r="J527" s="199">
        <f ca="1">IFERROR(__xludf.DUMMYFUNCTION("IMPORTRANGE(""https://docs.google.com/spreadsheets/d/1muirlRDkqiswvy_NRZ3Yh955hx-PF6_HhssUYiSJj8o/edit?usp=sharing"",""กองทุน!U75"")"),0)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IFERROR(__xludf.DUMMYFUNCTION("IMPORTRANGE(""https://docs.google.com/spreadsheets/d/1muirlRDkqiswvy_NRZ3Yh955hx-PF6_HhssUYiSJj8o/edit?usp=sharing"",""กองทุน!R75"")"),250)</f>
        <v>250</v>
      </c>
      <c r="J528" s="324">
        <f ca="1">IFERROR(__xludf.DUMMYFUNCTION("IMPORTRANGE(""https://docs.google.com/spreadsheets/d/1muirlRDkqiswvy_NRZ3Yh955hx-PF6_HhssUYiSJj8o/edit?usp=sharing"",""กองทุน!T75"")"),0)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242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1629220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IFERROR(__xludf.DUMMYFUNCTION("IMPORTRANGE(""https://docs.google.com/spreadsheets/d/1C3CXT74ZlgGe6_JY_1olB1XN4rF0dxEuIIF-xsYjHgg/edit?usp=sharing"",""พรบ!C76"")"),0)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IFERROR(__xludf.DUMMYFUNCTION("IMPORTRANGE(""https://docs.google.com/spreadsheets/d/1C3CXT74ZlgGe6_JY_1olB1XN4rF0dxEuIIF-xsYjHgg/edit?usp=sharing"",""พรบ!D76"")"),0)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IFERROR(__xludf.DUMMYFUNCTION("IMPORTRANGE(""https://docs.google.com/spreadsheets/d/1C3CXT74ZlgGe6_JY_1olB1XN4rF0dxEuIIF-xsYjHgg/edit?usp=sharing"",""พรบ!E76"")"),0)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IFERROR(__xludf.DUMMYFUNCTION("IMPORTRANGE(""https://docs.google.com/spreadsheets/d/1C3CXT74ZlgGe6_JY_1olB1XN4rF0dxEuIIF-xsYjHgg/edit?usp=sharing"",""พรบ!H76"")"),0)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IFERROR(__xludf.DUMMYFUNCTION("IMPORTRANGE(""https://docs.google.com/spreadsheets/d/1C3CXT74ZlgGe6_JY_1olB1XN4rF0dxEuIIF-xsYjHgg/edit?usp=sharing"",""พรบ!I76"")"),0)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IFERROR(__xludf.DUMMYFUNCTION("IMPORTRANGE(""https://docs.google.com/spreadsheets/d/1C3CXT74ZlgGe6_JY_1olB1XN4rF0dxEuIIF-xsYjHgg/edit?usp=sharing"",""พรบ!J76"")"),0)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IFERROR(__xludf.DUMMYFUNCTION("IMPORTRANGE(""https://docs.google.com/spreadsheets/d/1C3CXT74ZlgGe6_JY_1olB1XN4rF0dxEuIIF-xsYjHgg/edit?usp=sharing"",""พรบ!K76"")"),0)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IFERROR(__xludf.DUMMYFUNCTION("IMPORTRANGE(""https://docs.google.com/spreadsheets/d/1C3CXT74ZlgGe6_JY_1olB1XN4rF0dxEuIIF-xsYjHgg/edit?usp=sharing"",""พรบ!L76"")"),0)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IFERROR(__xludf.DUMMYFUNCTION("IMPORTRANGE(""https://docs.google.com/spreadsheets/d/1C3CXT74ZlgGe6_JY_1olB1XN4rF0dxEuIIF-xsYjHgg/edit?usp=sharing"",""พรบ!M76"")"),0)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IFERROR(__xludf.DUMMYFUNCTION("IMPORTRANGE(""https://docs.google.com/spreadsheets/d/1C3CXT74ZlgGe6_JY_1olB1XN4rF0dxEuIIF-xsYjHgg/edit?usp=sharing"",""พรบ!N76"")"),0)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IFERROR(__xludf.DUMMYFUNCTION("IMPORTRANGE(""https://docs.google.com/spreadsheets/d/1C3CXT74ZlgGe6_JY_1olB1XN4rF0dxEuIIF-xsYjHgg/edit?usp=sharing"",""พรบ!O76"")"),122100)</f>
        <v>122100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IFERROR(__xludf.DUMMYFUNCTION("IMPORTRANGE(""https://docs.google.com/spreadsheets/d/1C3CXT74ZlgGe6_JY_1olB1XN4rF0dxEuIIF-xsYjHgg/edit?usp=sharing"",""พรบ!P76"")"),0)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IFERROR(__xludf.DUMMYFUNCTION("IMPORTRANGE(""https://docs.google.com/spreadsheets/d/1C3CXT74ZlgGe6_JY_1olB1XN4rF0dxEuIIF-xsYjHgg/edit?usp=sharing"",""พรบ!Q76"")"),122100)</f>
        <v>122100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1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IFERROR(__xludf.DUMMYFUNCTION("IMPORTRANGE(""https://docs.google.com/spreadsheets/d/1C3CXT74ZlgGe6_JY_1olB1XN4rF0dxEuIIF-xsYjHgg/edit?usp=sharing"",""พรบ!R76"")"),1)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IFERROR(__xludf.DUMMYFUNCTION("IMPORTRANGE(""https://docs.google.com/spreadsheets/d/1C3CXT74ZlgGe6_JY_1olB1XN4rF0dxEuIIF-xsYjHgg/edit?usp=sharing"",""พรบ!S76"")"),4)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IFERROR(__xludf.DUMMYFUNCTION("IMPORTRANGE(""https://docs.google.com/spreadsheets/d/1C3CXT74ZlgGe6_JY_1olB1XN4rF0dxEuIIF-xsYjHgg/edit?usp=sharing"",""พรบ!T76"")"),4)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IFERROR(__xludf.DUMMYFUNCTION("IMPORTRANGE(""https://docs.google.com/spreadsheets/d/1C3CXT74ZlgGe6_JY_1olB1XN4rF0dxEuIIF-xsYjHgg/edit?usp=sharing"",""พรบ!U76"")"),4)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IFERROR(__xludf.DUMMYFUNCTION("IMPORTRANGE(""https://docs.google.com/spreadsheets/d/1C3CXT74ZlgGe6_JY_1olB1XN4rF0dxEuIIF-xsYjHgg/edit?usp=sharing"",""พรบ!V76"")"),4)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IFERROR(__xludf.DUMMYFUNCTION("IMPORTRANGE(""https://docs.google.com/spreadsheets/d/1C3CXT74ZlgGe6_JY_1olB1XN4rF0dxEuIIF-xsYjHgg/edit?usp=sharing"",""พรบ!W76"")"),1)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15</v>
      </c>
      <c r="J52" s="38">
        <f>+J62</f>
        <v>0</v>
      </c>
      <c r="K52" s="39">
        <f ca="1">IF(I52&gt;0,J52*100/I52,0)</f>
        <v>0</v>
      </c>
      <c r="L52" s="40">
        <f ca="1">L53+L54</f>
        <v>64890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64890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IFERROR(__xludf.DUMMYFUNCTION("IMPORTRANGE(""https://docs.google.com/spreadsheets/d/1C3CXT74ZlgGe6_JY_1olB1XN4rF0dxEuIIF-xsYjHgg/edit?usp=sharing"",""พรบ!Y76"")"),0)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IFERROR(__xludf.DUMMYFUNCTION("IMPORTRANGE(""https://docs.google.com/spreadsheets/d/1C3CXT74ZlgGe6_JY_1olB1XN4rF0dxEuIIF-xsYjHgg/edit?usp=sharing"",""พรบ!Z76"")"),64890)</f>
        <v>64890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1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IFERROR(__xludf.DUMMYFUNCTION("IMPORTRANGE(""https://docs.google.com/spreadsheets/d/1C3CXT74ZlgGe6_JY_1olB1XN4rF0dxEuIIF-xsYjHgg/edit?usp=sharing"",""พรบ!AA76"")"),15)</f>
        <v>15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15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15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374200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374200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IFERROR(__xludf.DUMMYFUNCTION("IMPORTRANGE(""https://docs.google.com/spreadsheets/d/1C3CXT74ZlgGe6_JY_1olB1XN4rF0dxEuIIF-xsYjHgg/edit?usp=sharing"",""พรบ!AD76"")"),301600)</f>
        <v>301600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72600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IFERROR(__xludf.DUMMYFUNCTION("IMPORTRANGE(""https://docs.google.com/spreadsheets/d/1C3CXT74ZlgGe6_JY_1olB1XN4rF0dxEuIIF-xsYjHgg/edit?usp=sharing"",""พรบ!AF76"")"),7500)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IFERROR(__xludf.DUMMYFUNCTION("IMPORTRANGE(""https://docs.google.com/spreadsheets/d/1C3CXT74ZlgGe6_JY_1olB1XN4rF0dxEuIIF-xsYjHgg/edit?usp=sharing"",""พรบ!AG76"")"),4)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IFERROR(__xludf.DUMMYFUNCTION("IMPORTRANGE(""https://docs.google.com/spreadsheets/d/1C3CXT74ZlgGe6_JY_1olB1XN4rF0dxEuIIF-xsYjHgg/edit?usp=sharing"",""พรบ!AH76"")"),42000)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IFERROR(__xludf.DUMMYFUNCTION("IMPORTRANGE(""https://docs.google.com/spreadsheets/d/1C3CXT74ZlgGe6_JY_1olB1XN4rF0dxEuIIF-xsYjHgg/edit?usp=sharing"",""พรบ!AI76"")"),3)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IFERROR(__xludf.DUMMYFUNCTION("IMPORTRANGE(""https://docs.google.com/spreadsheets/d/1C3CXT74ZlgGe6_JY_1olB1XN4rF0dxEuIIF-xsYjHgg/edit?usp=sharing"",""กปร!C76"")"),36000)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IFERROR(__xludf.DUMMYFUNCTION("IMPORTRANGE(""https://docs.google.com/spreadsheets/d/1C3CXT74ZlgGe6_JY_1olB1XN4rF0dxEuIIF-xsYjHgg/edit?usp=sharing"",""พรบ!AJ76"")"),0)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IFERROR(__xludf.DUMMYFUNCTION("IMPORTRANGE(""https://docs.google.com/spreadsheets/d/1C3CXT74ZlgGe6_JY_1olB1XN4rF0dxEuIIF-xsYjHgg/edit?usp=sharing"",""พรบ!AK76"")"),0)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IFERROR(__xludf.DUMMYFUNCTION("IMPORTRANGE(""https://docs.google.com/spreadsheets/d/1C3CXT74ZlgGe6_JY_1olB1XN4rF0dxEuIIF-xsYjHgg/edit?usp=sharing"",""กปร!D76"")"),0)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IFERROR(__xludf.DUMMYFUNCTION("IMPORTRANGE(""https://docs.google.com/spreadsheets/d/1C3CXT74ZlgGe6_JY_1olB1XN4rF0dxEuIIF-xsYjHgg/edit?usp=sharing"",""พรบ!AL76"")"),0)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IFERROR(__xludf.DUMMYFUNCTION("IMPORTRANGE(""https://docs.google.com/spreadsheets/d/1C3CXT74ZlgGe6_JY_1olB1XN4rF0dxEuIIF-xsYjHgg/edit?usp=sharing"",""กปร!D76"")"),0)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12800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23100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23100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IFERROR(__xludf.DUMMYFUNCTION("IMPORTRANGE(""https://docs.google.com/spreadsheets/d/1C3CXT74ZlgGe6_JY_1olB1XN4rF0dxEuIIF-xsYjHgg/edit?usp=sharing"",""พรบ!AM76"")"),23100)</f>
        <v>23100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IFERROR(__xludf.DUMMYFUNCTION("IMPORTRANGE(""https://docs.google.com/spreadsheets/d/1C3CXT74ZlgGe6_JY_1olB1XN4rF0dxEuIIF-xsYjHgg/edit?usp=sharing"",""พรบ!AO76"")"),12800)</f>
        <v>12800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IFERROR(__xludf.DUMMYFUNCTION("IMPORTRANGE(""https://docs.google.com/spreadsheets/d/1C3CXT74ZlgGe6_JY_1olB1XN4rF0dxEuIIF-xsYjHgg/edit?usp=sharing"",""พรบ!AP76"")"),12800)</f>
        <v>12800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IFERROR(__xludf.DUMMYFUNCTION("IMPORTRANGE(""https://docs.google.com/spreadsheets/d/1C3CXT74ZlgGe6_JY_1olB1XN4rF0dxEuIIF-xsYjHgg/edit?usp=sharing"",""กปร!F76"")"),4100)</f>
        <v>4100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IFERROR(__xludf.DUMMYFUNCTION("IMPORTRANGE(""https://docs.google.com/spreadsheets/d/1C3CXT74ZlgGe6_JY_1olB1XN4rF0dxEuIIF-xsYjHgg/edit?usp=sharing"",""พรบ!AQ76"")"),15)</f>
        <v>15</v>
      </c>
      <c r="J126" s="67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IFERROR(__xludf.DUMMYFUNCTION("IMPORTRANGE(""https://docs.google.com/spreadsheets/d/1C3CXT74ZlgGe6_JY_1olB1XN4rF0dxEuIIF-xsYjHgg/edit?usp=sharing"",""กปร!G76"")"),15000)</f>
        <v>15000</v>
      </c>
      <c r="M126" s="361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IFERROR(__xludf.DUMMYFUNCTION("IMPORTRANGE(""https://docs.google.com/spreadsheets/d/1C3CXT74ZlgGe6_JY_1olB1XN4rF0dxEuIIF-xsYjHgg/edit?usp=sharing"",""พรบ!AR76"")"),0)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IFERROR(__xludf.DUMMYFUNCTION("IMPORTRANGE(""https://docs.google.com/spreadsheets/d/1C3CXT74ZlgGe6_JY_1olB1XN4rF0dxEuIIF-xsYjHgg/edit?usp=sharing"",""พรบ!AS76"")"),0)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IFERROR(__xludf.DUMMYFUNCTION("IMPORTRANGE(""https://docs.google.com/spreadsheets/d/1C3CXT74ZlgGe6_JY_1olB1XN4rF0dxEuIIF-xsYjHgg/edit?usp=sharing"",""กปร!H76"")"),0)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IFERROR(__xludf.DUMMYFUNCTION("IMPORTRANGE(""https://docs.google.com/spreadsheets/d/1C3CXT74ZlgGe6_JY_1olB1XN4rF0dxEuIIF-xsYjHgg/edit?usp=sharing"",""พรบ!AT76"")"),0)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IFERROR(__xludf.DUMMYFUNCTION("IMPORTRANGE(""https://docs.google.com/spreadsheets/d/1C3CXT74ZlgGe6_JY_1olB1XN4rF0dxEuIIF-xsYjHgg/edit?usp=sharing"",""กปร!I76"")"),0)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IFERROR(__xludf.DUMMYFUNCTION("IMPORTRANGE(""https://docs.google.com/spreadsheets/d/1C3CXT74ZlgGe6_JY_1olB1XN4rF0dxEuIIF-xsYjHgg/edit?usp=sharing"",""พรบ!AU76"")"),0)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IFERROR(__xludf.DUMMYFUNCTION("IMPORTRANGE(""https://docs.google.com/spreadsheets/d/1C3CXT74ZlgGe6_JY_1olB1XN4rF0dxEuIIF-xsYjHgg/edit?usp=sharing"",""กปร!J76"")"),0)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14</v>
      </c>
      <c r="K144" s="137">
        <f ca="1">IF(I144&gt;0,J144*100/I144,0)</f>
        <v>100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IFERROR(__xludf.DUMMYFUNCTION("IMPORTRANGE(""https://docs.google.com/spreadsheets/d/1C3CXT74ZlgGe6_JY_1olB1XN4rF0dxEuIIF-xsYjHgg/edit?usp=sharing"",""พรบ!AY76"")"),20210)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14</v>
      </c>
      <c r="K149" s="137">
        <f ca="1">IF(I149&gt;0,J149*100/I149,0)</f>
        <v>100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IFERROR(__xludf.DUMMYFUNCTION("IMPORTRANGE(""https://docs.google.com/spreadsheets/d/1C3CXT74ZlgGe6_JY_1olB1XN4rF0dxEuIIF-xsYjHgg/edit?usp=sharing"",""พรบ!BA76"")"),14)</f>
        <v>14</v>
      </c>
      <c r="J155" s="67">
        <v>14</v>
      </c>
      <c r="K155" s="48">
        <f ca="1">IF(I155&gt;0,J155*100/I155,0)</f>
        <v>100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181400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181400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IFERROR(__xludf.DUMMYFUNCTION("IMPORTRANGE(""https://docs.google.com/spreadsheets/d/1C3CXT74ZlgGe6_JY_1olB1XN4rF0dxEuIIF-xsYjHgg/edit?usp=sharing"",""พรบ!BD76"")"),0)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IFERROR(__xludf.DUMMYFUNCTION("IMPORTRANGE(""https://docs.google.com/spreadsheets/d/1C3CXT74ZlgGe6_JY_1olB1XN4rF0dxEuIIF-xsYjHgg/edit?usp=sharing"",""พรบ!BE76"")"),181400)</f>
        <v>181400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1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1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IFERROR(__xludf.DUMMYFUNCTION("IMPORTRANGE(""https://docs.google.com/spreadsheets/d/1C3CXT74ZlgGe6_JY_1olB1XN4rF0dxEuIIF-xsYjHgg/edit?usp=sharing"",""พรบ!BF76"")"),1)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IFERROR(__xludf.DUMMYFUNCTION("IMPORTRANGE(""https://docs.google.com/spreadsheets/d/1C3CXT74ZlgGe6_JY_1olB1XN4rF0dxEuIIF-xsYjHgg/edit?usp=sharing"",""พรบ!BG76"")"),20)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IFERROR(__xludf.DUMMYFUNCTION("IMPORTRANGE(""https://docs.google.com/spreadsheets/d/1C3CXT74ZlgGe6_JY_1olB1XN4rF0dxEuIIF-xsYjHgg/edit?usp=sharing"",""พรบ!BH76"")"),20)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IFERROR(__xludf.DUMMYFUNCTION("IMPORTRANGE(""https://docs.google.com/spreadsheets/d/1C3CXT74ZlgGe6_JY_1olB1XN4rF0dxEuIIF-xsYjHgg/edit?usp=sharing"",""พรบ!BI76"")"),1)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IFERROR(__xludf.DUMMYFUNCTION("IMPORTRANGE(""https://docs.google.com/spreadsheets/d/1C3CXT74ZlgGe6_JY_1olB1XN4rF0dxEuIIF-xsYjHgg/edit?usp=sharing"",""พรบ!BK76"")"),0)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IFERROR(__xludf.DUMMYFUNCTION("IMPORTRANGE(""https://docs.google.com/spreadsheets/d/1C3CXT74ZlgGe6_JY_1olB1XN4rF0dxEuIIF-xsYjHgg/edit?usp=sharing"",""พรบ!BL76"")"),55200)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1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IFERROR(__xludf.DUMMYFUNCTION("IMPORTRANGE(""https://docs.google.com/spreadsheets/d/1C3CXT74ZlgGe6_JY_1olB1XN4rF0dxEuIIF-xsYjHgg/edit?usp=sharing"",""พรบ!BM76"")"),15)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IFERROR(__xludf.DUMMYFUNCTION("IMPORTRANGE(""https://docs.google.com/spreadsheets/d/1C3CXT74ZlgGe6_JY_1olB1XN4rF0dxEuIIF-xsYjHgg/edit?usp=sharing"",""พรบ!BP76"")"),0)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IFERROR(__xludf.DUMMYFUNCTION("IMPORTRANGE(""https://docs.google.com/spreadsheets/d/1C3CXT74ZlgGe6_JY_1olB1XN4rF0dxEuIIF-xsYjHgg/edit?usp=sharing"",""พรบ!BQ76"")"),0)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IFERROR(__xludf.DUMMYFUNCTION("IMPORTRANGE(""https://docs.google.com/spreadsheets/d/1C3CXT74ZlgGe6_JY_1olB1XN4rF0dxEuIIF-xsYjHgg/edit?usp=sharing"",""พรบ!BR76"")"),0)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IFERROR(__xludf.DUMMYFUNCTION("IMPORTRANGE(""https://docs.google.com/spreadsheets/d/1C3CXT74ZlgGe6_JY_1olB1XN4rF0dxEuIIF-xsYjHgg/edit?usp=sharing"",""พรบ!BU76"")"),0)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IFERROR(__xludf.DUMMYFUNCTION("IMPORTRANGE(""https://docs.google.com/spreadsheets/d/1C3CXT74ZlgGe6_JY_1olB1XN4rF0dxEuIIF-xsYjHgg/edit?usp=sharing"",""พรบ!BV76"")"),0)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150</v>
      </c>
      <c r="J228" s="197">
        <f ca="1">J240</f>
        <v>11</v>
      </c>
      <c r="K228" s="178">
        <f ca="1">IF(I228&gt;0,J228*100/I228,0)</f>
        <v>7.333333333333333</v>
      </c>
      <c r="L228" s="179">
        <f ca="1">L229+L230</f>
        <v>811220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811220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IFERROR(__xludf.DUMMYFUNCTION("IMPORTRANGE(""https://docs.google.com/spreadsheets/d/1C3CXT74ZlgGe6_JY_1olB1XN4rF0dxEuIIF-xsYjHgg/edit?usp=sharing"",""พรบ!BX76"")"),471600)</f>
        <v>471600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IFERROR(__xludf.DUMMYFUNCTION("IMPORTRANGE(""https://docs.google.com/spreadsheets/d/1C3CXT74ZlgGe6_JY_1olB1XN4rF0dxEuIIF-xsYjHgg/edit?usp=sharing"",""พรบ!BY76"")"),339620)</f>
        <v>339620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IFERROR(__xludf.DUMMYFUNCTION("IMPORTRANGE(""https://docs.google.com/spreadsheets/d/1AGHcLOeeYFL3K4b9R1dSzyJy00PE_ra89DNTVfnxSWM/edit?usp=sharing"",""รวมที่ทำกิน!J65"")"),0)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IFERROR(__xludf.DUMMYFUNCTION("IMPORTRANGE(""https://docs.google.com/spreadsheets/d/1C3CXT74ZlgGe6_JY_1olB1XN4rF0dxEuIIF-xsYjHgg/edit?usp=sharing"",""พรบ!BZ76"")"),1640)</f>
        <v>1640</v>
      </c>
      <c r="J235" s="66">
        <f ca="1">IFERROR(__xludf.DUMMYFUNCTION("IMPORTRANGE(""https://docs.google.com/spreadsheets/d/1AGHcLOeeYFL3K4b9R1dSzyJy00PE_ra89DNTVfnxSWM/edit?usp=sharing"",""รวมที่ทำกิน!L65"")"),0)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IFERROR(__xludf.DUMMYFUNCTION("IMPORTRANGE(""https://docs.google.com/spreadsheets/d/1C3CXT74ZlgGe6_JY_1olB1XN4rF0dxEuIIF-xsYjHgg/edit?usp=sharing"",""พรบ!CA76"")"),150)</f>
        <v>150</v>
      </c>
      <c r="J236" s="66">
        <f ca="1">IFERROR(__xludf.DUMMYFUNCTION("IMPORTRANGE(""https://docs.google.com/spreadsheets/d/1AGHcLOeeYFL3K4b9R1dSzyJy00PE_ra89DNTVfnxSWM/edit?usp=sharing"",""รวมที่ทำกิน!O65"")"),11)</f>
        <v>11</v>
      </c>
      <c r="K236" s="200">
        <f t="shared" ca="1" si="52"/>
        <v>7.333333333333333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IFERROR(__xludf.DUMMYFUNCTION("IMPORTRANGE(""https://docs.google.com/spreadsheets/d/1AGHcLOeeYFL3K4b9R1dSzyJy00PE_ra89DNTVfnxSWM/edit?usp=sharing"",""รวมที่ทำกิน!Q65"")"),221.68)</f>
        <v>221.68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IFERROR(__xludf.DUMMYFUNCTION("IMPORTRANGE(""https://docs.google.com/spreadsheets/d/1C3CXT74ZlgGe6_JY_1olB1XN4rF0dxEuIIF-xsYjHgg/edit?usp=sharing"",""พรบ!CB76"")"),150)</f>
        <v>150</v>
      </c>
      <c r="J238" s="66">
        <f ca="1">IFERROR(__xludf.DUMMYFUNCTION("IMPORTRANGE(""https://docs.google.com/spreadsheets/d/1AGHcLOeeYFL3K4b9R1dSzyJy00PE_ra89DNTVfnxSWM/edit?usp=sharing"",""รวมที่ทำกิน!S65"")"),0)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IFERROR(__xludf.DUMMYFUNCTION("IMPORTRANGE(""https://docs.google.com/spreadsheets/d/1AGHcLOeeYFL3K4b9R1dSzyJy00PE_ra89DNTVfnxSWM/edit?usp=sharing"",""รวมที่ทำกิน!U65"")"),0)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IFERROR(__xludf.DUMMYFUNCTION("IMPORTRANGE(""https://docs.google.com/spreadsheets/d/1C3CXT74ZlgGe6_JY_1olB1XN4rF0dxEuIIF-xsYjHgg/edit?usp=sharing"",""พรบ!CC76"")"),150)</f>
        <v>150</v>
      </c>
      <c r="J240" s="66">
        <f ca="1">IFERROR(__xludf.DUMMYFUNCTION("IMPORTRANGE(""https://docs.google.com/spreadsheets/d/1AGHcLOeeYFL3K4b9R1dSzyJy00PE_ra89DNTVfnxSWM/edit?usp=sharing"",""รวมที่ทำกิน!W65"")"),11)</f>
        <v>11</v>
      </c>
      <c r="K240" s="200">
        <f t="shared" ca="1" si="52"/>
        <v>7.333333333333333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IFERROR(__xludf.DUMMYFUNCTION("IMPORTRANGE(""https://docs.google.com/spreadsheets/d/1AGHcLOeeYFL3K4b9R1dSzyJy00PE_ra89DNTVfnxSWM/edit?usp=sharing"",""รวมที่ทำกิน!Y65"")"),221.68)</f>
        <v>221.68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1313814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60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93120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20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93120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IFERROR(__xludf.DUMMYFUNCTION("IMPORTRANGE(""https://docs.google.com/spreadsheets/d/1C3CXT74ZlgGe6_JY_1olB1XN4rF0dxEuIIF-xsYjHgg/edit?usp=sharing"",""งบกองทุน!d76"")"),0)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IFERROR(__xludf.DUMMYFUNCTION("IMPORTRANGE(""https://docs.google.com/spreadsheets/d/1C3CXT74ZlgGe6_JY_1olB1XN4rF0dxEuIIF-xsYjHgg/edit?usp=sharing"",""งบกองทุน!e76"")"),93120)</f>
        <v>93120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IFERROR(__xludf.DUMMYFUNCTION("IMPORTRANGE(""https://docs.google.com/spreadsheets/d/1C3CXT74ZlgGe6_JY_1olB1XN4rF0dxEuIIF-xsYjHgg/edit?usp=sharing"",""งบกองทุน!f76"")"),0)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60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IFERROR(__xludf.DUMMYFUNCTION("IMPORTRANGE(""https://docs.google.com/spreadsheets/d/1C3CXT74ZlgGe6_JY_1olB1XN4rF0dxEuIIF-xsYjHgg/edit?usp=sharing"",""งบกองทุน!H76"")"),20)</f>
        <v>20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IFERROR(__xludf.DUMMYFUNCTION("IMPORTRANGE(""https://docs.google.com/spreadsheets/d/1C3CXT74ZlgGe6_JY_1olB1XN4rF0dxEuIIF-xsYjHgg/edit?usp=sharing"",""งบกองทุน!i76"")"),60)</f>
        <v>60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20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IFERROR(__xludf.DUMMYFUNCTION("IMPORTRANGE(""https://docs.google.com/spreadsheets/d/1C3CXT74ZlgGe6_JY_1olB1XN4rF0dxEuIIF-xsYjHgg/edit?usp=sharing"",""งบกองทุน!k76"")"),0)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20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IFERROR(__xludf.DUMMYFUNCTION("IMPORTRANGE(""https://docs.google.com/spreadsheets/d/1C3CXT74ZlgGe6_JY_1olB1XN4rF0dxEuIIF-xsYjHgg/edit?usp=sharing"",""งบกองทุน!m76"")"),0)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60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IFERROR(__xludf.DUMMYFUNCTION("IMPORTRANGE(""https://docs.google.com/spreadsheets/d/1C3CXT74ZlgGe6_JY_1olB1XN4rF0dxEuIIF-xsYjHgg/edit?usp=sharing"",""งบกองทุน!o76"")"),0)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IFERROR(__xludf.DUMMYFUNCTION("IMPORTRANGE(""https://docs.google.com/spreadsheets/d/1C3CXT74ZlgGe6_JY_1olB1XN4rF0dxEuIIF-xsYjHgg/edit?usp=sharing"",""งบกองทุน!p76"")"),60)</f>
        <v>60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207560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207560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IFERROR(__xludf.DUMMYFUNCTION("IMPORTRANGE(""https://docs.google.com/spreadsheets/d/1C3CXT74ZlgGe6_JY_1olB1XN4rF0dxEuIIF-xsYjHgg/edit?usp=sharing"",""งบกองทุน!r76"")"),0)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IFERROR(__xludf.DUMMYFUNCTION("IMPORTRANGE(""https://docs.google.com/spreadsheets/d/1C3CXT74ZlgGe6_JY_1olB1XN4rF0dxEuIIF-xsYjHgg/edit?usp=sharing"",""งบกองทุน!s76"")"),207560)</f>
        <v>207560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IFERROR(__xludf.DUMMYFUNCTION("IMPORTRANGE(""https://docs.google.com/spreadsheets/d/1C3CXT74ZlgGe6_JY_1olB1XN4rF0dxEuIIF-xsYjHgg/edit?usp=sharing"",""งบกองทุน!v76"")"),20)</f>
        <v>20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IFERROR(__xludf.DUMMYFUNCTION("IMPORTRANGE(""https://docs.google.com/spreadsheets/d/1C3CXT74ZlgGe6_JY_1olB1XN4rF0dxEuIIF-xsYjHgg/edit?usp=sharing"",""งบกองทุน!w76"")"),200)</f>
        <v>200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IFERROR(__xludf.DUMMYFUNCTION("IMPORTRANGE(""https://docs.google.com/spreadsheets/d/1C3CXT74ZlgGe6_JY_1olB1XN4rF0dxEuIIF-xsYjHgg/edit?usp=sharing"",""งบกองทุน!x76"")"),20)</f>
        <v>20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90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101920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30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101920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IFERROR(__xludf.DUMMYFUNCTION("IMPORTRANGE(""https://docs.google.com/spreadsheets/d/1C3CXT74ZlgGe6_JY_1olB1XN4rF0dxEuIIF-xsYjHgg/edit?usp=sharing"",""งบกองทุน!z76"")"),0)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IFERROR(__xludf.DUMMYFUNCTION("IMPORTRANGE(""https://docs.google.com/spreadsheets/d/1C3CXT74ZlgGe6_JY_1olB1XN4rF0dxEuIIF-xsYjHgg/edit?usp=sharing"",""งบกองทุน!aa76"")"),101920)</f>
        <v>101920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30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IFERROR(__xludf.DUMMYFUNCTION("IMPORTRANGE(""https://docs.google.com/spreadsheets/d/1C3CXT74ZlgGe6_JY_1olB1XN4rF0dxEuIIF-xsYjHgg/edit?usp=sharing"",""งบกองทุน!ae76"")"),0)</f>
        <v>0</v>
      </c>
      <c r="J312" s="364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IFERROR(__xludf.DUMMYFUNCTION("IMPORTRANGE(""https://docs.google.com/spreadsheets/d/1C3CXT74ZlgGe6_JY_1olB1XN4rF0dxEuIIF-xsYjHgg/edit?usp=sharing"",""งบกองทุน!ad76"")"),0)</f>
        <v>0</v>
      </c>
      <c r="J313" s="364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IFERROR(__xludf.DUMMYFUNCTION("IMPORTRANGE(""https://docs.google.com/spreadsheets/d/1C3CXT74ZlgGe6_JY_1olB1XN4rF0dxEuIIF-xsYjHgg/edit?usp=sharing"",""งบกองทุน!af76"")"),0)</f>
        <v>0</v>
      </c>
      <c r="J314" s="365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IFERROR(__xludf.DUMMYFUNCTION("IMPORTRANGE(""https://docs.google.com/spreadsheets/d/1C3CXT74ZlgGe6_JY_1olB1XN4rF0dxEuIIF-xsYjHgg/edit?usp=sharing"",""งบกองทุน!ag76"")"),0)</f>
        <v>0</v>
      </c>
      <c r="J315" s="365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IFERROR(__xludf.DUMMYFUNCTION("IMPORTRANGE(""https://docs.google.com/spreadsheets/d/1C3CXT74ZlgGe6_JY_1olB1XN4rF0dxEuIIF-xsYjHgg/edit?usp=sharing"",""งบกองทุน!ai76"")"),20)</f>
        <v>20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IFERROR(__xludf.DUMMYFUNCTION("IMPORTRANGE(""https://docs.google.com/spreadsheets/d/1C3CXT74ZlgGe6_JY_1olB1XN4rF0dxEuIIF-xsYjHgg/edit?usp=sharing"",""งบกองทุน!ah76"")"),60)</f>
        <v>60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IFERROR(__xludf.DUMMYFUNCTION("IMPORTRANGE(""https://docs.google.com/spreadsheets/d/1C3CXT74ZlgGe6_JY_1olB1XN4rF0dxEuIIF-xsYjHgg/edit?usp=sharing"",""งบกองทุน!aj76"")"),20)</f>
        <v>20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IFERROR(__xludf.DUMMYFUNCTION("IMPORTRANGE(""https://docs.google.com/spreadsheets/d/1C3CXT74ZlgGe6_JY_1olB1XN4rF0dxEuIIF-xsYjHgg/edit?usp=sharing"",""งบกองทุน!ak76"")"),20)</f>
        <v>20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IFERROR(__xludf.DUMMYFUNCTION("IMPORTRANGE(""https://docs.google.com/spreadsheets/d/1C3CXT74ZlgGe6_JY_1olB1XN4rF0dxEuIIF-xsYjHgg/edit?usp=sharing"",""งบกองทุน!al76"")"),20)</f>
        <v>20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IFERROR(__xludf.DUMMYFUNCTION("IMPORTRANGE(""https://docs.google.com/spreadsheets/d/1C3CXT74ZlgGe6_JY_1olB1XN4rF0dxEuIIF-xsYjHgg/edit?usp=sharing"",""งบกองทุน!an76"")"),10)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IFERROR(__xludf.DUMMYFUNCTION("IMPORTRANGE(""https://docs.google.com/spreadsheets/d/1C3CXT74ZlgGe6_JY_1olB1XN4rF0dxEuIIF-xsYjHgg/edit?usp=sharing"",""งบกองทุน!am76"")"),30)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IFERROR(__xludf.DUMMYFUNCTION("IMPORTRANGE(""https://docs.google.com/spreadsheets/d/1C3CXT74ZlgGe6_JY_1olB1XN4rF0dxEuIIF-xsYjHgg/edit?usp=sharing"",""งบกองทุน!ao76"")"),10)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IFERROR(__xludf.DUMMYFUNCTION("IMPORTRANGE(""https://docs.google.com/spreadsheets/d/1C3CXT74ZlgGe6_JY_1olB1XN4rF0dxEuIIF-xsYjHgg/edit?usp=sharing"",""งบกองทุน!ap76"")"),10)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20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IFERROR(__xludf.DUMMYFUNCTION("IMPORTRANGE(""https://docs.google.com/spreadsheets/d/1C3CXT74ZlgGe6_JY_1olB1XN4rF0dxEuIIF-xsYjHgg/edit?usp=sharing"",""งบกองทุน!ar76"")"),0)</f>
        <v>0</v>
      </c>
      <c r="J326" s="365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IFERROR(__xludf.DUMMYFUNCTION("IMPORTRANGE(""https://docs.google.com/spreadsheets/d/1C3CXT74ZlgGe6_JY_1olB1XN4rF0dxEuIIF-xsYjHgg/edit?usp=sharing"",""งบกองทุน!as76"")"),20)</f>
        <v>20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IFERROR(__xludf.DUMMYFUNCTION("IMPORTRANGE(""https://docs.google.com/spreadsheets/d/1C3CXT74ZlgGe6_JY_1olB1XN4rF0dxEuIIF-xsYjHgg/edit?usp=sharing"",""งบกองทุน!au76"")"),0)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IFERROR(__xludf.DUMMYFUNCTION("IMPORTRANGE(""https://docs.google.com/spreadsheets/d/1C3CXT74ZlgGe6_JY_1olB1XN4rF0dxEuIIF-xsYjHgg/edit?usp=sharing"",""งบกองทุน!av76"")"),83000)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IFERROR(__xludf.DUMMYFUNCTION("IMPORTRANGE(""https://docs.google.com/spreadsheets/d/1C3CXT74ZlgGe6_JY_1olB1XN4rF0dxEuIIF-xsYjHgg/edit?usp=sharing"",""งบกองทุน!ay76"")"),15)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IFERROR(__xludf.DUMMYFUNCTION("IMPORTRANGE(""https://docs.google.com/spreadsheets/d/1C3CXT74ZlgGe6_JY_1olB1XN4rF0dxEuIIF-xsYjHgg/edit?usp=sharing"",""งบกองทุน!az76"")"),0)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IFERROR(__xludf.DUMMYFUNCTION("IMPORTRANGE(""https://docs.google.com/spreadsheets/d/1C3CXT74ZlgGe6_JY_1olB1XN4rF0dxEuIIF-xsYjHgg/edit?usp=sharing"",""งบกองทุน!Ba76"")"),0)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4739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285044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285044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IFERROR(__xludf.DUMMYFUNCTION("IMPORTRANGE(""https://docs.google.com/spreadsheets/d/1C3CXT74ZlgGe6_JY_1olB1XN4rF0dxEuIIF-xsYjHgg/edit?usp=sharing"",""งบกองทุน!Bc76"")"),0)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IFERROR(__xludf.DUMMYFUNCTION("IMPORTRANGE(""https://docs.google.com/spreadsheets/d/1C3CXT74ZlgGe6_JY_1olB1XN4rF0dxEuIIF-xsYjHgg/edit?usp=sharing"",""งบกองทุน!Bd76"")"),285044)</f>
        <v>285044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IFERROR(__xludf.DUMMYFUNCTION("IMPORTRANGE(""https://docs.google.com/spreadsheets/d/1C3CXT74ZlgGe6_JY_1olB1XN4rF0dxEuIIF-xsYjHgg/edit?usp=sharing"",""งบกองทุน!BE76"")"),4739)</f>
        <v>4739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IFERROR(__xludf.DUMMYFUNCTION("IMPORTRANGE(""https://docs.google.com/spreadsheets/d/1C3CXT74ZlgGe6_JY_1olB1XN4rF0dxEuIIF-xsYjHgg/edit?usp=sharing"",""งบกองทุน!BE76"")"),4739)</f>
        <v>4739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IFERROR(__xludf.DUMMYFUNCTION("IMPORTRANGE(""https://docs.google.com/spreadsheets/d/1C3CXT74ZlgGe6_JY_1olB1XN4rF0dxEuIIF-xsYjHgg/edit?usp=sharing"",""งบกองทุน!Bf76"")"),856)</f>
        <v>856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4739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856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4739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856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IFERROR(__xludf.DUMMYFUNCTION("IMPORTRANGE(""https://docs.google.com/spreadsheets/d/1C3CXT74ZlgGe6_JY_1olB1XN4rF0dxEuIIF-xsYjHgg/edit?usp=sharing"",""งบกองทุน!cd76"")"),11142)</f>
        <v>11142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IFERROR(__xludf.DUMMYFUNCTION("IMPORTRANGE(""https://docs.google.com/spreadsheets/d/1C3CXT74ZlgGe6_JY_1olB1XN4rF0dxEuIIF-xsYjHgg/edit?usp=sharing"",""งบกองทุน!cd76"")"),11142)</f>
        <v>11142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IFERROR(__xludf.DUMMYFUNCTION("IMPORTRANGE(""https://docs.google.com/spreadsheets/d/1C3CXT74ZlgGe6_JY_1olB1XN4rF0dxEuIIF-xsYjHgg/edit?usp=sharing"",""งบกองทุน!cc76"")"),505)</f>
        <v>505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IFERROR(__xludf.DUMMYFUNCTION("IMPORTRANGE(""https://docs.google.com/spreadsheets/d/1C3CXT74ZlgGe6_JY_1olB1XN4rF0dxEuIIF-xsYjHgg/edit?usp=sharing"",""งบกองทุน!cz76"")"),0)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IFERROR(__xludf.DUMMYFUNCTION("IMPORTRANGE(""https://docs.google.com/spreadsheets/d/1C3CXT74ZlgGe6_JY_1olB1XN4rF0dxEuIIF-xsYjHgg/edit?usp=sharing"",""งบกองทุน!cz76"")"),0)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IFERROR(__xludf.DUMMYFUNCTION("IMPORTRANGE(""https://docs.google.com/spreadsheets/d/1C3CXT74ZlgGe6_JY_1olB1XN4rF0dxEuIIF-xsYjHgg/edit?usp=sharing"",""งบกองทุน!cy76"")"),0)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IFERROR(__xludf.DUMMYFUNCTION("IMPORTRANGE(""https://docs.google.com/spreadsheets/d/1C3CXT74ZlgGe6_JY_1olB1XN4rF0dxEuIIF-xsYjHgg/edit?usp=sharing"",""งบกองทุน!db76"")"),0)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IFERROR(__xludf.DUMMYFUNCTION("IMPORTRANGE(""https://docs.google.com/spreadsheets/d/1C3CXT74ZlgGe6_JY_1olB1XN4rF0dxEuIIF-xsYjHgg/edit?usp=sharing"",""งบกองทุน!da76"")"),0)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IFERROR(__xludf.DUMMYFUNCTION("IMPORTRANGE(""https://docs.google.com/spreadsheets/d/1C3CXT74ZlgGe6_JY_1olB1XN4rF0dxEuIIF-xsYjHgg/edit?usp=sharing"",""งบกองทุน!dd76"")"),0)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IFERROR(__xludf.DUMMYFUNCTION("IMPORTRANGE(""https://docs.google.com/spreadsheets/d/1C3CXT74ZlgGe6_JY_1olB1XN4rF0dxEuIIF-xsYjHgg/edit?usp=sharing"",""งบกองทุน!dc76"")"),0)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IFERROR(__xludf.DUMMYFUNCTION("IMPORTRANGE(""https://docs.google.com/spreadsheets/d/1C3CXT74ZlgGe6_JY_1olB1XN4rF0dxEuIIF-xsYjHgg/edit?usp=sharing"",""งบกองทุน!df76"")"),0)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IFERROR(__xludf.DUMMYFUNCTION("IMPORTRANGE(""https://docs.google.com/spreadsheets/d/1C3CXT74ZlgGe6_JY_1olB1XN4rF0dxEuIIF-xsYjHgg/edit?usp=sharing"",""งบกองทุน!de76"")"),0)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23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35190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35190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IFERROR(__xludf.DUMMYFUNCTION("IMPORTRANGE(""https://docs.google.com/spreadsheets/d/1C3CXT74ZlgGe6_JY_1olB1XN4rF0dxEuIIF-xsYjHgg/edit?usp=sharing"",""งบกองทุน!dn76"")"),0)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IFERROR(__xludf.DUMMYFUNCTION("IMPORTRANGE(""https://docs.google.com/spreadsheets/d/1C3CXT74ZlgGe6_JY_1olB1XN4rF0dxEuIIF-xsYjHgg/edit?usp=sharing"",""งบกองทุน!do76"")"),35190)</f>
        <v>35190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IFERROR(__xludf.DUMMYFUNCTION("IMPORTRANGE(""https://docs.google.com/spreadsheets/d/1C3CXT74ZlgGe6_JY_1olB1XN4rF0dxEuIIF-xsYjHgg/edit?usp=sharing"",""งบกองทุน!dq76"")"),23)</f>
        <v>23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IFERROR(__xludf.DUMMYFUNCTION("IMPORTRANGE(""https://docs.google.com/spreadsheets/d/1C3CXT74ZlgGe6_JY_1olB1XN4rF0dxEuIIF-xsYjHgg/edit?usp=sharing"",""งบกองทุน!dr76"")"),23)</f>
        <v>23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66"/>
      <c r="K445" s="232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66"/>
      <c r="K446" s="232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66"/>
      <c r="K447" s="232"/>
      <c r="L447" s="52">
        <f ca="1">IFERROR(__xludf.DUMMYFUNCTION("IMPORTRANGE(""https://docs.google.com/spreadsheets/d/1C3CXT74ZlgGe6_JY_1olB1XN4rF0dxEuIIF-xsYjHgg/edit?usp=sharing"",""งบกองทุน!dt76"")"),0)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IFERROR(__xludf.DUMMYFUNCTION("IMPORTRANGE(""https://docs.google.com/spreadsheets/d/1C3CXT74ZlgGe6_JY_1olB1XN4rF0dxEuIIF-xsYjHgg/edit?usp=sharing"",""งบกองทุน!du76"")"),0)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IFERROR(__xludf.DUMMYFUNCTION("IMPORTRANGE(""https://docs.google.com/spreadsheets/d/1C3CXT74ZlgGe6_JY_1olB1XN4rF0dxEuIIF-xsYjHgg/edit?usp=sharing"",""งบกองทุน!dw76"")"),0)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IFERROR(__xludf.DUMMYFUNCTION("IMPORTRANGE(""https://docs.google.com/spreadsheets/d/1C3CXT74ZlgGe6_JY_1olB1XN4rF0dxEuIIF-xsYjHgg/edit?usp=sharing"",""งบกองทุน!dx76"")"),0)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IFERROR(__xludf.DUMMYFUNCTION("IMPORTRANGE(""https://docs.google.com/spreadsheets/d/1C3CXT74ZlgGe6_JY_1olB1XN4rF0dxEuIIF-xsYjHgg/edit?usp=sharing"",""งบกองทุน!dy76"")"),0)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IFERROR(__xludf.DUMMYFUNCTION("IMPORTRANGE(""https://docs.google.com/spreadsheets/d/1C3CXT74ZlgGe6_JY_1olB1XN4rF0dxEuIIF-xsYjHgg/edit?usp=sharing"",""งบกองทุน!dz76"")"),0)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600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125680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125680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IFERROR(__xludf.DUMMYFUNCTION("IMPORTRANGE(""https://docs.google.com/spreadsheets/d/1C3CXT74ZlgGe6_JY_1olB1XN4rF0dxEuIIF-xsYjHgg/edit?usp=sharing"",""งบกองทุน!Eb76"")"),0)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IFERROR(__xludf.DUMMYFUNCTION("IMPORTRANGE(""https://docs.google.com/spreadsheets/d/1C3CXT74ZlgGe6_JY_1olB1XN4rF0dxEuIIF-xsYjHgg/edit?usp=sharing"",""งบกองทุน!Ec76"")"),125680)</f>
        <v>125680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IFERROR(__xludf.DUMMYFUNCTION("IMPORTRANGE(""https://docs.google.com/spreadsheets/d/1C3CXT74ZlgGe6_JY_1olB1XN4rF0dxEuIIF-xsYjHgg/edit?usp=sharing"",""งบกองทุน!Ed76"")"),600)</f>
        <v>600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500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377750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377750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IFERROR(__xludf.DUMMYFUNCTION("IMPORTRANGE(""https://docs.google.com/spreadsheets/d/1C3CXT74ZlgGe6_JY_1olB1XN4rF0dxEuIIF-xsYjHgg/edit?usp=sharing"",""งบกองทุน!Ek76"")"),0)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IFERROR(__xludf.DUMMYFUNCTION("IMPORTRANGE(""https://docs.google.com/spreadsheets/d/1C3CXT74ZlgGe6_JY_1olB1XN4rF0dxEuIIF-xsYjHgg/edit?usp=sharing"",""งบกองทุน!El76"")"),377750)</f>
        <v>377750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3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IFERROR(__xludf.DUMMYFUNCTION("IMPORTRANGE(""https://docs.google.com/spreadsheets/d/1C3CXT74ZlgGe6_JY_1olB1XN4rF0dxEuIIF-xsYjHgg/edit?usp=sharing"",""งบกองทุน!Em76"")"),500)</f>
        <v>500</v>
      </c>
      <c r="J482" s="66">
        <f ca="1">IFERROR(__xludf.DUMMYFUNCTION("IMPORTRANGE(""https://docs.google.com/spreadsheets/d/1AGHcLOeeYFL3K4b9R1dSzyJy00PE_ra89DNTVfnxSWM/edit?usp=sharing"",""รวมที่ชุมชน!G9"")"),26)</f>
        <v>26</v>
      </c>
      <c r="K482" s="48">
        <f t="shared" ref="K482:K489" ca="1" si="107">IF(I482&gt;0,J482*100/I482,0)</f>
        <v>5.2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IFERROR(__xludf.DUMMYFUNCTION("IMPORTRANGE(""https://docs.google.com/spreadsheets/d/1C3CXT74ZlgGe6_JY_1olB1XN4rF0dxEuIIF-xsYjHgg/edit?usp=sharing"",""งบกองทุน!En76"")"),0)</f>
        <v>0</v>
      </c>
      <c r="J483" s="66">
        <f ca="1">IFERROR(__xludf.DUMMYFUNCTION("IMPORTRANGE(""https://docs.google.com/spreadsheets/d/1AGHcLOeeYFL3K4b9R1dSzyJy00PE_ra89DNTVfnxSWM/edit?usp=sharing"",""รวมที่ชุมชน!H9"")"),34.53)</f>
        <v>34.53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IFERROR(__xludf.DUMMYFUNCTION("IMPORTRANGE(""https://docs.google.com/spreadsheets/d/1C3CXT74ZlgGe6_JY_1olB1XN4rF0dxEuIIF-xsYjHgg/edit?usp=sharing"",""งบกองทุน!Eo76"")"),500)</f>
        <v>500</v>
      </c>
      <c r="J484" s="66">
        <f ca="1">IFERROR(__xludf.DUMMYFUNCTION("IMPORTRANGE(""https://docs.google.com/spreadsheets/d/1AGHcLOeeYFL3K4b9R1dSzyJy00PE_ra89DNTVfnxSWM/edit?usp=sharing"",""รวมที่ชุมชน!J9"")"),0)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IFERROR(__xludf.DUMMYFUNCTION("IMPORTRANGE(""https://docs.google.com/spreadsheets/d/1C3CXT74ZlgGe6_JY_1olB1XN4rF0dxEuIIF-xsYjHgg/edit?usp=sharing"",""งบกองทุน!Ep76"")"),0)</f>
        <v>0</v>
      </c>
      <c r="J485" s="66">
        <f ca="1">IFERROR(__xludf.DUMMYFUNCTION("IMPORTRANGE(""https://docs.google.com/spreadsheets/d/1AGHcLOeeYFL3K4b9R1dSzyJy00PE_ra89DNTVfnxSWM/edit?usp=sharing"",""รวมที่ชุมชน!L9"")"),0)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IFERROR(__xludf.DUMMYFUNCTION("IMPORTRANGE(""https://docs.google.com/spreadsheets/d/1C3CXT74ZlgGe6_JY_1olB1XN4rF0dxEuIIF-xsYjHgg/edit?usp=sharing"",""งบกองทุน!Eq76"")"),500)</f>
        <v>500</v>
      </c>
      <c r="J486" s="66">
        <f ca="1">IFERROR(__xludf.DUMMYFUNCTION("IMPORTRANGE(""https://docs.google.com/spreadsheets/d/1AGHcLOeeYFL3K4b9R1dSzyJy00PE_ra89DNTVfnxSWM/edit?usp=sharing"",""รวมที่ชุมชน!S9"")"),0)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IFERROR(__xludf.DUMMYFUNCTION("IMPORTRANGE(""https://docs.google.com/spreadsheets/d/1C3CXT74ZlgGe6_JY_1olB1XN4rF0dxEuIIF-xsYjHgg/edit?usp=sharing"",""งบกองทุน!Er76"")"),0)</f>
        <v>0</v>
      </c>
      <c r="J487" s="66">
        <f ca="1">IFERROR(__xludf.DUMMYFUNCTION("IMPORTRANGE(""https://docs.google.com/spreadsheets/d/1AGHcLOeeYFL3K4b9R1dSzyJy00PE_ra89DNTVfnxSWM/edit?usp=sharing"",""รวมที่ชุมชน!U9"")"),0)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IFERROR(__xludf.DUMMYFUNCTION("IMPORTRANGE(""https://docs.google.com/spreadsheets/d/1C3CXT74ZlgGe6_JY_1olB1XN4rF0dxEuIIF-xsYjHgg/edit?usp=sharing"",""งบกองทุน!Es76"")"),500)</f>
        <v>500</v>
      </c>
      <c r="J488" s="66">
        <f ca="1">IFERROR(__xludf.DUMMYFUNCTION("IMPORTRANGE(""https://docs.google.com/spreadsheets/d/1AGHcLOeeYFL3K4b9R1dSzyJy00PE_ra89DNTVfnxSWM/edit?usp=sharing"",""รวมที่ชุมชน!V9"")"),0)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IFERROR(__xludf.DUMMYFUNCTION("IMPORTRANGE(""https://docs.google.com/spreadsheets/d/1C3CXT74ZlgGe6_JY_1olB1XN4rF0dxEuIIF-xsYjHgg/edit?usp=sharing"",""งบกองทุน!Et76"")"),0)</f>
        <v>0</v>
      </c>
      <c r="J489" s="111">
        <f ca="1">IFERROR(__xludf.DUMMYFUNCTION("IMPORTRANGE(""https://docs.google.com/spreadsheets/d/1AGHcLOeeYFL3K4b9R1dSzyJy00PE_ra89DNTVfnxSWM/edit?usp=sharing"",""รวมที่ชุมชน!X9"")"),0)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IFERROR(__xludf.DUMMYFUNCTION("IMPORTRANGE(""https://docs.google.com/spreadsheets/d/1C3CXT74ZlgGe6_JY_1olB1XN4rF0dxEuIIF-xsYjHgg/edit?usp=sharing"",""งบกองทุน!Ev76"")"),0)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IFERROR(__xludf.DUMMYFUNCTION("IMPORTRANGE(""https://docs.google.com/spreadsheets/d/1C3CXT74ZlgGe6_JY_1olB1XN4rF0dxEuIIF-xsYjHgg/edit?usp=sharing"",""งบกองทุน!Ew76"")"),4550)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IFERROR(__xludf.DUMMYFUNCTION("IMPORTRANGE(""https://docs.google.com/spreadsheets/d/1C3CXT74ZlgGe6_JY_1olB1XN4rF0dxEuIIF-xsYjHgg/edit?usp=sharing"",""งบกองทุน!EZ76"")"),50)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IFERROR(__xludf.DUMMYFUNCTION("IMPORTRANGE(""https://docs.google.com/spreadsheets/d/1C3CXT74ZlgGe6_JY_1olB1XN4rF0dxEuIIF-xsYjHgg/edit?usp=sharing"",""งบกองทุน!ff76"")"),0)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IFERROR(__xludf.DUMMYFUNCTION("IMPORTRANGE(""https://docs.google.com/spreadsheets/d/1muirlRDkqiswvy_NRZ3Yh955hx-PF6_HhssUYiSJj8o/edit?usp=sharing"",""กองทุน!D76"")"),2448689.05)</f>
        <v>2448689.0499999998</v>
      </c>
      <c r="J521" s="199">
        <f ca="1">IFERROR(__xludf.DUMMYFUNCTION("IMPORTRANGE(""https://docs.google.com/spreadsheets/d/1muirlRDkqiswvy_NRZ3Yh955hx-PF6_HhssUYiSJj8o/edit?usp=sharing"",""กองทุน!F76"")"),0)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IFERROR(__xludf.DUMMYFUNCTION("IMPORTRANGE(""https://docs.google.com/spreadsheets/d/1muirlRDkqiswvy_NRZ3Yh955hx-PF6_HhssUYiSJj8o/edit?usp=sharing"",""กองทุน!C76"")"),168)</f>
        <v>168</v>
      </c>
      <c r="J522" s="199">
        <f ca="1">IFERROR(__xludf.DUMMYFUNCTION("IMPORTRANGE(""https://docs.google.com/spreadsheets/d/1muirlRDkqiswvy_NRZ3Yh955hx-PF6_HhssUYiSJj8o/edit?usp=sharing"",""กองทุน!E76"")"),0)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IFERROR(__xludf.DUMMYFUNCTION("IMPORTRANGE(""https://docs.google.com/spreadsheets/d/1muirlRDkqiswvy_NRZ3Yh955hx-PF6_HhssUYiSJj8o/edit?usp=sharing"",""กองทุน!I76"")"),17020029.08)</f>
        <v>17020029.079999998</v>
      </c>
      <c r="J523" s="199">
        <f ca="1">IFERROR(__xludf.DUMMYFUNCTION("IMPORTRANGE(""https://docs.google.com/spreadsheets/d/1muirlRDkqiswvy_NRZ3Yh955hx-PF6_HhssUYiSJj8o/edit?usp=sharing"",""กองทุน!K76"")"),6956.11)</f>
        <v>6956.11</v>
      </c>
      <c r="K523" s="200">
        <f t="shared" ca="1" si="116"/>
        <v>4.0870141686032896E-2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IFERROR(__xludf.DUMMYFUNCTION("IMPORTRANGE(""https://docs.google.com/spreadsheets/d/1muirlRDkqiswvy_NRZ3Yh955hx-PF6_HhssUYiSJj8o/edit?usp=sharing"",""กองทุน!H76"")"),253)</f>
        <v>253</v>
      </c>
      <c r="J524" s="199">
        <f ca="1">IFERROR(__xludf.DUMMYFUNCTION("IMPORTRANGE(""https://docs.google.com/spreadsheets/d/1muirlRDkqiswvy_NRZ3Yh955hx-PF6_HhssUYiSJj8o/edit?usp=sharing"",""กองทุน!J76"")"),4)</f>
        <v>4</v>
      </c>
      <c r="K524" s="200">
        <f t="shared" ca="1" si="116"/>
        <v>1.5810276679841897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IFERROR(__xludf.DUMMYFUNCTION("IMPORTRANGE(""https://docs.google.com/spreadsheets/d/1muirlRDkqiswvy_NRZ3Yh955hx-PF6_HhssUYiSJj8o/edit?usp=sharing"",""กองทุน!N76"")"),2425843.89)</f>
        <v>2425843.89</v>
      </c>
      <c r="J525" s="199">
        <f ca="1">IFERROR(__xludf.DUMMYFUNCTION("IMPORTRANGE(""https://docs.google.com/spreadsheets/d/1muirlRDkqiswvy_NRZ3Yh955hx-PF6_HhssUYiSJj8o/edit?usp=sharing"",""กองทุน!P76"")"),7238.04)</f>
        <v>7238.04</v>
      </c>
      <c r="K525" s="200">
        <f t="shared" ca="1" si="116"/>
        <v>0.29837204404773132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IFERROR(__xludf.DUMMYFUNCTION("IMPORTRANGE(""https://docs.google.com/spreadsheets/d/1muirlRDkqiswvy_NRZ3Yh955hx-PF6_HhssUYiSJj8o/edit?usp=sharing"",""กองทุน!M76"")"),85)</f>
        <v>85</v>
      </c>
      <c r="J526" s="199">
        <f ca="1">IFERROR(__xludf.DUMMYFUNCTION("IMPORTRANGE(""https://docs.google.com/spreadsheets/d/1muirlRDkqiswvy_NRZ3Yh955hx-PF6_HhssUYiSJj8o/edit?usp=sharing"",""กองทุน!O76"")"),3)</f>
        <v>3</v>
      </c>
      <c r="K526" s="200">
        <f t="shared" ca="1" si="116"/>
        <v>3.5294117647058822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IFERROR(__xludf.DUMMYFUNCTION("IMPORTRANGE(""https://docs.google.com/spreadsheets/d/1muirlRDkqiswvy_NRZ3Yh955hx-PF6_HhssUYiSJj8o/edit?usp=sharing"",""กองทุน!S76"")"),5265000)</f>
        <v>5265000</v>
      </c>
      <c r="J527" s="199">
        <f ca="1">IFERROR(__xludf.DUMMYFUNCTION("IMPORTRANGE(""https://docs.google.com/spreadsheets/d/1muirlRDkqiswvy_NRZ3Yh955hx-PF6_HhssUYiSJj8o/edit?usp=sharing"",""กองทุน!U76"")"),0)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IFERROR(__xludf.DUMMYFUNCTION("IMPORTRANGE(""https://docs.google.com/spreadsheets/d/1muirlRDkqiswvy_NRZ3Yh955hx-PF6_HhssUYiSJj8o/edit?usp=sharing"",""กองทุน!R76"")"),134)</f>
        <v>134</v>
      </c>
      <c r="J528" s="324">
        <f ca="1">IFERROR(__xludf.DUMMYFUNCTION("IMPORTRANGE(""https://docs.google.com/spreadsheets/d/1muirlRDkqiswvy_NRZ3Yh955hx-PF6_HhssUYiSJj8o/edit?usp=sharing"",""กองทุน!T76"")"),0)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218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2510010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66"/>
      <c r="K11" s="232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66"/>
      <c r="K12" s="232"/>
      <c r="L12" s="52">
        <f ca="1">IFERROR(__xludf.DUMMYFUNCTION("IMPORTRANGE(""https://docs.google.com/spreadsheets/d/1C3CXT74ZlgGe6_JY_1olB1XN4rF0dxEuIIF-xsYjHgg/edit?usp=sharing"",""พรบ!C59"")"),0)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IFERROR(__xludf.DUMMYFUNCTION("IMPORTRANGE(""https://docs.google.com/spreadsheets/d/1C3CXT74ZlgGe6_JY_1olB1XN4rF0dxEuIIF-xsYjHgg/edit?usp=sharing"",""พรบ!D59"")"),0)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IFERROR(__xludf.DUMMYFUNCTION("IMPORTRANGE(""https://docs.google.com/spreadsheets/d/1C3CXT74ZlgGe6_JY_1olB1XN4rF0dxEuIIF-xsYjHgg/edit?usp=sharing"",""พรบ!E59"")"),0)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IFERROR(__xludf.DUMMYFUNCTION("IMPORTRANGE(""https://docs.google.com/spreadsheets/d/1C3CXT74ZlgGe6_JY_1olB1XN4rF0dxEuIIF-xsYjHgg/edit?usp=sharing"",""พรบ!H59"")"),0)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IFERROR(__xludf.DUMMYFUNCTION("IMPORTRANGE(""https://docs.google.com/spreadsheets/d/1C3CXT74ZlgGe6_JY_1olB1XN4rF0dxEuIIF-xsYjHgg/edit?usp=sharing"",""พรบ!I59"")"),0)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IFERROR(__xludf.DUMMYFUNCTION("IMPORTRANGE(""https://docs.google.com/spreadsheets/d/1C3CXT74ZlgGe6_JY_1olB1XN4rF0dxEuIIF-xsYjHgg/edit?usp=sharing"",""พรบ!J59"")"),0)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IFERROR(__xludf.DUMMYFUNCTION("IMPORTRANGE(""https://docs.google.com/spreadsheets/d/1C3CXT74ZlgGe6_JY_1olB1XN4rF0dxEuIIF-xsYjHgg/edit?usp=sharing"",""พรบ!K59"")"),0)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IFERROR(__xludf.DUMMYFUNCTION("IMPORTRANGE(""https://docs.google.com/spreadsheets/d/1C3CXT74ZlgGe6_JY_1olB1XN4rF0dxEuIIF-xsYjHgg/edit?usp=sharing"",""พรบ!L59"")"),0)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IFERROR(__xludf.DUMMYFUNCTION("IMPORTRANGE(""https://docs.google.com/spreadsheets/d/1C3CXT74ZlgGe6_JY_1olB1XN4rF0dxEuIIF-xsYjHgg/edit?usp=sharing"",""พรบ!M59"")"),0)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IFERROR(__xludf.DUMMYFUNCTION("IMPORTRANGE(""https://docs.google.com/spreadsheets/d/1C3CXT74ZlgGe6_JY_1olB1XN4rF0dxEuIIF-xsYjHgg/edit?usp=sharing"",""พรบ!N59"")"),0)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7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134160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2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IFERROR(__xludf.DUMMYFUNCTION("IMPORTRANGE(""https://docs.google.com/spreadsheets/d/1C3CXT74ZlgGe6_JY_1olB1XN4rF0dxEuIIF-xsYjHgg/edit?usp=sharing"",""พรบ!O59"")"),134160)</f>
        <v>134160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IFERROR(__xludf.DUMMYFUNCTION("IMPORTRANGE(""https://docs.google.com/spreadsheets/d/1C3CXT74ZlgGe6_JY_1olB1XN4rF0dxEuIIF-xsYjHgg/edit?usp=sharing"",""พรบ!P59"")"),0)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IFERROR(__xludf.DUMMYFUNCTION("IMPORTRANGE(""https://docs.google.com/spreadsheets/d/1C3CXT74ZlgGe6_JY_1olB1XN4rF0dxEuIIF-xsYjHgg/edit?usp=sharing"",""พรบ!Q59"")"),134160)</f>
        <v>134160</v>
      </c>
      <c r="M37" s="53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1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0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IFERROR(__xludf.DUMMYFUNCTION("IMPORTRANGE(""https://docs.google.com/spreadsheets/d/1C3CXT74ZlgGe6_JY_1olB1XN4rF0dxEuIIF-xsYjHgg/edit?usp=sharing"",""พรบ!R59"")"),1)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IFERROR(__xludf.DUMMYFUNCTION("IMPORTRANGE(""https://docs.google.com/spreadsheets/d/1C3CXT74ZlgGe6_JY_1olB1XN4rF0dxEuIIF-xsYjHgg/edit?usp=sharing"",""พรบ!S59"")"),7)</f>
        <v>7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IFERROR(__xludf.DUMMYFUNCTION("IMPORTRANGE(""https://docs.google.com/spreadsheets/d/1C3CXT74ZlgGe6_JY_1olB1XN4rF0dxEuIIF-xsYjHgg/edit?usp=sharing"",""พรบ!T59"")"),7)</f>
        <v>7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IFERROR(__xludf.DUMMYFUNCTION("IMPORTRANGE(""https://docs.google.com/spreadsheets/d/1C3CXT74ZlgGe6_JY_1olB1XN4rF0dxEuIIF-xsYjHgg/edit?usp=sharing"",""พรบ!U59"")"),7)</f>
        <v>7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IFERROR(__xludf.DUMMYFUNCTION("IMPORTRANGE(""https://docs.google.com/spreadsheets/d/1C3CXT74ZlgGe6_JY_1olB1XN4rF0dxEuIIF-xsYjHgg/edit?usp=sharing"",""พรบ!V59"")"),7)</f>
        <v>7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IFERROR(__xludf.DUMMYFUNCTION("IMPORTRANGE(""https://docs.google.com/spreadsheets/d/1C3CXT74ZlgGe6_JY_1olB1XN4rF0dxEuIIF-xsYjHgg/edit?usp=sharing"",""พรบ!W59"")"),2)</f>
        <v>2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0</v>
      </c>
      <c r="K52" s="39">
        <f ca="1">IF(I52&gt;0,J52*100/I52,0)</f>
        <v>0</v>
      </c>
      <c r="L52" s="40">
        <f ca="1">L53+L54</f>
        <v>82440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IFERROR(__xludf.DUMMYFUNCTION("IMPORTRANGE(""https://docs.google.com/spreadsheets/d/1C3CXT74ZlgGe6_JY_1olB1XN4rF0dxEuIIF-xsYjHgg/edit?usp=sharing"",""พรบ!Y59"")"),0)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IFERROR(__xludf.DUMMYFUNCTION("IMPORTRANGE(""https://docs.google.com/spreadsheets/d/1C3CXT74ZlgGe6_JY_1olB1XN4rF0dxEuIIF-xsYjHgg/edit?usp=sharing"",""พรบ!Z59"")"),82440)</f>
        <v>82440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1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0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IFERROR(__xludf.DUMMYFUNCTION("IMPORTRANGE(""https://docs.google.com/spreadsheets/d/1C3CXT74ZlgGe6_JY_1olB1XN4rF0dxEuIIF-xsYjHgg/edit?usp=sharing"",""พรบ!AA59"")"),20)</f>
        <v>20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30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647600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647600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IFERROR(__xludf.DUMMYFUNCTION("IMPORTRANGE(""https://docs.google.com/spreadsheets/d/1C3CXT74ZlgGe6_JY_1olB1XN4rF0dxEuIIF-xsYjHgg/edit?usp=sharing"",""พรบ!AD59"")"),364700)</f>
        <v>364700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282900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IFERROR(__xludf.DUMMYFUNCTION("IMPORTRANGE(""https://docs.google.com/spreadsheets/d/1C3CXT74ZlgGe6_JY_1olB1XN4rF0dxEuIIF-xsYjHgg/edit?usp=sharing"",""พรบ!AF59"")"),7500)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IFERROR(__xludf.DUMMYFUNCTION("IMPORTRANGE(""https://docs.google.com/spreadsheets/d/1C3CXT74ZlgGe6_JY_1olB1XN4rF0dxEuIIF-xsYjHgg/edit?usp=sharing"",""พรบ!AG59"")"),4)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0</v>
      </c>
      <c r="K89" s="150">
        <f ca="1">IF(I89&gt;0,J89*100/I89,0)</f>
        <v>0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IFERROR(__xludf.DUMMYFUNCTION("IMPORTRANGE(""https://docs.google.com/spreadsheets/d/1C3CXT74ZlgGe6_JY_1olB1XN4rF0dxEuIIF-xsYjHgg/edit?usp=sharing"",""พรบ!AH59"")"),56000)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/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IFERROR(__xludf.DUMMYFUNCTION("IMPORTRANGE(""https://docs.google.com/spreadsheets/d/1C3CXT74ZlgGe6_JY_1olB1XN4rF0dxEuIIF-xsYjHgg/edit?usp=sharing"",""พรบ!AI59"")"),4)</f>
        <v>4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IFERROR(__xludf.DUMMYFUNCTION("IMPORTRANGE(""https://docs.google.com/spreadsheets/d/1C3CXT74ZlgGe6_JY_1olB1XN4rF0dxEuIIF-xsYjHgg/edit?usp=sharing"",""กปร!C59"")"),48000)</f>
        <v>48000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/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6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90000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90000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IFERROR(__xludf.DUMMYFUNCTION("IMPORTRANGE(""https://docs.google.com/spreadsheets/d/1C3CXT74ZlgGe6_JY_1olB1XN4rF0dxEuIIF-xsYjHgg/edit?usp=sharing"",""พรบ!AJ59"")"),90000)</f>
        <v>90000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1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/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IFERROR(__xludf.DUMMYFUNCTION("IMPORTRANGE(""https://docs.google.com/spreadsheets/d/1C3CXT74ZlgGe6_JY_1olB1XN4rF0dxEuIIF-xsYjHgg/edit?usp=sharing"",""พรบ!AK59"")"),6)</f>
        <v>6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IFERROR(__xludf.DUMMYFUNCTION("IMPORTRANGE(""https://docs.google.com/spreadsheets/d/1C3CXT74ZlgGe6_JY_1olB1XN4rF0dxEuIIF-xsYjHgg/edit?usp=sharing"",""กปร!D59"")"),30000)</f>
        <v>30000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IFERROR(__xludf.DUMMYFUNCTION("IMPORTRANGE(""https://docs.google.com/spreadsheets/d/1C3CXT74ZlgGe6_JY_1olB1XN4rF0dxEuIIF-xsYjHgg/edit?usp=sharing"",""พรบ!AL59"")"),6)</f>
        <v>6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IFERROR(__xludf.DUMMYFUNCTION("IMPORTRANGE(""https://docs.google.com/spreadsheets/d/1C3CXT74ZlgGe6_JY_1olB1XN4rF0dxEuIIF-xsYjHgg/edit?usp=sharing"",""กปร!E59"")"),48000)</f>
        <v>48000</v>
      </c>
      <c r="M111" s="361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/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IFERROR(__xludf.DUMMYFUNCTION("IMPORTRANGE(""https://docs.google.com/spreadsheets/d/1C3CXT74ZlgGe6_JY_1olB1XN4rF0dxEuIIF-xsYjHgg/edit?usp=sharing"",""พรบ!AM59"")"),9000)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/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>
        <v>0</v>
      </c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IFERROR(__xludf.DUMMYFUNCTION("IMPORTRANGE(""https://docs.google.com/spreadsheets/d/1C3CXT74ZlgGe6_JY_1olB1XN4rF0dxEuIIF-xsYjHgg/edit?usp=sharing"",""พรบ!AO59"")"),20000)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IFERROR(__xludf.DUMMYFUNCTION("IMPORTRANGE(""https://docs.google.com/spreadsheets/d/1C3CXT74ZlgGe6_JY_1olB1XN4rF0dxEuIIF-xsYjHgg/edit?usp=sharing"",""พรบ!AP59"")"),20000)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IFERROR(__xludf.DUMMYFUNCTION("IMPORTRANGE(""https://docs.google.com/spreadsheets/d/1C3CXT74ZlgGe6_JY_1olB1XN4rF0dxEuIIF-xsYjHgg/edit?usp=sharing"",""กปร!F59"")"),5000)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IFERROR(__xludf.DUMMYFUNCTION("IMPORTRANGE(""https://docs.google.com/spreadsheets/d/1C3CXT74ZlgGe6_JY_1olB1XN4rF0dxEuIIF-xsYjHgg/edit?usp=sharing"",""พรบ!AQ59"")"),0)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IFERROR(__xludf.DUMMYFUNCTION("IMPORTRANGE(""https://docs.google.com/spreadsheets/d/1C3CXT74ZlgGe6_JY_1olB1XN4rF0dxEuIIF-xsYjHgg/edit?usp=sharing"",""กปร!G59"")"),0)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/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219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30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120400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120400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IFERROR(__xludf.DUMMYFUNCTION("IMPORTRANGE(""https://docs.google.com/spreadsheets/d/1C3CXT74ZlgGe6_JY_1olB1XN4rF0dxEuIIF-xsYjHgg/edit?usp=sharing"",""พรบ!AR59"")"),120400)</f>
        <v>120400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1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IFERROR(__xludf.DUMMYFUNCTION("IMPORTRANGE(""https://docs.google.com/spreadsheets/d/1C3CXT74ZlgGe6_JY_1olB1XN4rF0dxEuIIF-xsYjHgg/edit?usp=sharing"",""พรบ!AS59"")"),30)</f>
        <v>30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IFERROR(__xludf.DUMMYFUNCTION("IMPORTRANGE(""https://docs.google.com/spreadsheets/d/1C3CXT74ZlgGe6_JY_1olB1XN4rF0dxEuIIF-xsYjHgg/edit?usp=sharing"",""กปร!H59"")"),73400)</f>
        <v>73400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>
        <v>0</v>
      </c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IFERROR(__xludf.DUMMYFUNCTION("IMPORTRANGE(""https://docs.google.com/spreadsheets/d/1C3CXT74ZlgGe6_JY_1olB1XN4rF0dxEuIIF-xsYjHgg/edit?usp=sharing"",""พรบ!AT59"")"),1)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IFERROR(__xludf.DUMMYFUNCTION("IMPORTRANGE(""https://docs.google.com/spreadsheets/d/1C3CXT74ZlgGe6_JY_1olB1XN4rF0dxEuIIF-xsYjHgg/edit?usp=sharing"",""กปร!I59"")"),0)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IFERROR(__xludf.DUMMYFUNCTION("IMPORTRANGE(""https://docs.google.com/spreadsheets/d/1C3CXT74ZlgGe6_JY_1olB1XN4rF0dxEuIIF-xsYjHgg/edit?usp=sharing"",""พรบ!AU59"")"),0)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IFERROR(__xludf.DUMMYFUNCTION("IMPORTRANGE(""https://docs.google.com/spreadsheets/d/1C3CXT74ZlgGe6_JY_1olB1XN4rF0dxEuIIF-xsYjHgg/edit?usp=sharing"",""กปร!J59"")"),10000)</f>
        <v>10000</v>
      </c>
      <c r="M141" s="361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/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IFERROR(__xludf.DUMMYFUNCTION("IMPORTRANGE(""https://docs.google.com/spreadsheets/d/1C3CXT74ZlgGe6_JY_1olB1XN4rF0dxEuIIF-xsYjHgg/edit?usp=sharing"",""พรบ!AY59"")"),20210)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1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/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IFERROR(__xludf.DUMMYFUNCTION("IMPORTRANGE(""https://docs.google.com/spreadsheets/d/1C3CXT74ZlgGe6_JY_1olB1XN4rF0dxEuIIF-xsYjHgg/edit?usp=sharing"",""พรบ!BA59"")"),14)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/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71400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IFERROR(__xludf.DUMMYFUNCTION("IMPORTRANGE(""https://docs.google.com/spreadsheets/d/1C3CXT74ZlgGe6_JY_1olB1XN4rF0dxEuIIF-xsYjHgg/edit?usp=sharing"",""พรบ!BD59"")"),0)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IFERROR(__xludf.DUMMYFUNCTION("IMPORTRANGE(""https://docs.google.com/spreadsheets/d/1C3CXT74ZlgGe6_JY_1olB1XN4rF0dxEuIIF-xsYjHgg/edit?usp=sharing"",""พรบ!BE59"")"),71400)</f>
        <v>71400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IFERROR(__xludf.DUMMYFUNCTION("IMPORTRANGE(""https://docs.google.com/spreadsheets/d/1C3CXT74ZlgGe6_JY_1olB1XN4rF0dxEuIIF-xsYjHgg/edit?usp=sharing"",""พรบ!BF59"")"),1)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IFERROR(__xludf.DUMMYFUNCTION("IMPORTRANGE(""https://docs.google.com/spreadsheets/d/1C3CXT74ZlgGe6_JY_1olB1XN4rF0dxEuIIF-xsYjHgg/edit?usp=sharing"",""พรบ!BG59"")"),20)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IFERROR(__xludf.DUMMYFUNCTION("IMPORTRANGE(""https://docs.google.com/spreadsheets/d/1C3CXT74ZlgGe6_JY_1olB1XN4rF0dxEuIIF-xsYjHgg/edit?usp=sharing"",""พรบ!BH59"")"),20)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IFERROR(__xludf.DUMMYFUNCTION("IMPORTRANGE(""https://docs.google.com/spreadsheets/d/1C3CXT74ZlgGe6_JY_1olB1XN4rF0dxEuIIF-xsYjHgg/edit?usp=sharing"",""พรบ!BI59"")"),1)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20</v>
      </c>
      <c r="J185" s="177">
        <f>+J195</f>
        <v>0</v>
      </c>
      <c r="K185" s="178">
        <f ca="1">IF(I185&gt;0,J185*100/I185,0)</f>
        <v>0</v>
      </c>
      <c r="L185" s="179">
        <f ca="1">L186+L187</f>
        <v>183600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183600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IFERROR(__xludf.DUMMYFUNCTION("IMPORTRANGE(""https://docs.google.com/spreadsheets/d/1C3CXT74ZlgGe6_JY_1olB1XN4rF0dxEuIIF-xsYjHgg/edit?usp=sharing"",""พรบ!BK59"")"),0)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IFERROR(__xludf.DUMMYFUNCTION("IMPORTRANGE(""https://docs.google.com/spreadsheets/d/1C3CXT74ZlgGe6_JY_1olB1XN4rF0dxEuIIF-xsYjHgg/edit?usp=sharing"",""พรบ!BL59"")"),183600)</f>
        <v>183600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IFERROR(__xludf.DUMMYFUNCTION("IMPORTRANGE(""https://docs.google.com/spreadsheets/d/1C3CXT74ZlgGe6_JY_1olB1XN4rF0dxEuIIF-xsYjHgg/edit?usp=sharing"",""พรบ!BM59"")"),20)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30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95360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95360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47"/>
      <c r="K203" s="48"/>
      <c r="L203" s="52">
        <f ca="1">IFERROR(__xludf.DUMMYFUNCTION("IMPORTRANGE(""https://docs.google.com/spreadsheets/d/1C3CXT74ZlgGe6_JY_1olB1XN4rF0dxEuIIF-xsYjHgg/edit?usp=sharing"",""พรบ!BP59"")"),95360)</f>
        <v>95360</v>
      </c>
      <c r="M203" s="53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1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0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0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IFERROR(__xludf.DUMMYFUNCTION("IMPORTRANGE(""https://docs.google.com/spreadsheets/d/1C3CXT74ZlgGe6_JY_1olB1XN4rF0dxEuIIF-xsYjHgg/edit?usp=sharing"",""พรบ!BQ59"")"),30)</f>
        <v>30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IFERROR(__xludf.DUMMYFUNCTION("IMPORTRANGE(""https://docs.google.com/spreadsheets/d/1C3CXT74ZlgGe6_JY_1olB1XN4rF0dxEuIIF-xsYjHgg/edit?usp=sharing"",""พรบ!BR59"")"),30)</f>
        <v>30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/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87">
        <v>0</v>
      </c>
      <c r="K213" s="48"/>
      <c r="L213" s="60"/>
      <c r="M213" s="60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3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264600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264600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IFERROR(__xludf.DUMMYFUNCTION("IMPORTRANGE(""https://docs.google.com/spreadsheets/d/1C3CXT74ZlgGe6_JY_1olB1XN4rF0dxEuIIF-xsYjHgg/edit?usp=sharing"",""พรบ!BU59"")"),264600)</f>
        <v>264600</v>
      </c>
      <c r="M218" s="53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1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IFERROR(__xludf.DUMMYFUNCTION("IMPORTRANGE(""https://docs.google.com/spreadsheets/d/1C3CXT74ZlgGe6_JY_1olB1XN4rF0dxEuIIF-xsYjHgg/edit?usp=sharing"",""พรบ!BV59"")"),3)</f>
        <v>3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/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220</v>
      </c>
      <c r="J228" s="197">
        <f ca="1">J240</f>
        <v>0</v>
      </c>
      <c r="K228" s="178">
        <f ca="1">IF(I228&gt;0,J228*100/I228,0)</f>
        <v>0</v>
      </c>
      <c r="L228" s="179">
        <f ca="1">L229+L230</f>
        <v>1010640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1010640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IFERROR(__xludf.DUMMYFUNCTION("IMPORTRANGE(""https://docs.google.com/spreadsheets/d/1C3CXT74ZlgGe6_JY_1olB1XN4rF0dxEuIIF-xsYjHgg/edit?usp=sharing"",""พรบ!BX59"")"),629200)</f>
        <v>629200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IFERROR(__xludf.DUMMYFUNCTION("IMPORTRANGE(""https://docs.google.com/spreadsheets/d/1C3CXT74ZlgGe6_JY_1olB1XN4rF0dxEuIIF-xsYjHgg/edit?usp=sharing"",""พรบ!BY59"")"),381440)</f>
        <v>381440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IFERROR(__xludf.DUMMYFUNCTION("IMPORTRANGE(""https://docs.google.com/spreadsheets/d/1AGHcLOeeYFL3K4b9R1dSzyJy00PE_ra89DNTVfnxSWM/edit?usp=sharing"",""รวมที่ทำกิน!J48"")"),1)</f>
        <v>1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IFERROR(__xludf.DUMMYFUNCTION("IMPORTRANGE(""https://docs.google.com/spreadsheets/d/1C3CXT74ZlgGe6_JY_1olB1XN4rF0dxEuIIF-xsYjHgg/edit?usp=sharing"",""พรบ!BZ59"")"),1960)</f>
        <v>1960</v>
      </c>
      <c r="J235" s="66">
        <f ca="1">IFERROR(__xludf.DUMMYFUNCTION("IMPORTRANGE(""https://docs.google.com/spreadsheets/d/1AGHcLOeeYFL3K4b9R1dSzyJy00PE_ra89DNTVfnxSWM/edit?usp=sharing"",""รวมที่ทำกิน!L48"")"),12.44)</f>
        <v>12.44</v>
      </c>
      <c r="K235" s="200">
        <f t="shared" ca="1" si="52"/>
        <v>0.63469387755102036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IFERROR(__xludf.DUMMYFUNCTION("IMPORTRANGE(""https://docs.google.com/spreadsheets/d/1C3CXT74ZlgGe6_JY_1olB1XN4rF0dxEuIIF-xsYjHgg/edit?usp=sharing"",""พรบ!CA59"")"),220)</f>
        <v>220</v>
      </c>
      <c r="J236" s="66">
        <f ca="1">IFERROR(__xludf.DUMMYFUNCTION("IMPORTRANGE(""https://docs.google.com/spreadsheets/d/1AGHcLOeeYFL3K4b9R1dSzyJy00PE_ra89DNTVfnxSWM/edit?usp=sharing"",""รวมที่ทำกิน!O48"")"),1)</f>
        <v>1</v>
      </c>
      <c r="K236" s="200">
        <f t="shared" ca="1" si="52"/>
        <v>0.45454545454545453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IFERROR(__xludf.DUMMYFUNCTION("IMPORTRANGE(""https://docs.google.com/spreadsheets/d/1AGHcLOeeYFL3K4b9R1dSzyJy00PE_ra89DNTVfnxSWM/edit?usp=sharing"",""รวมที่ทำกิน!Q48"")"),12.44)</f>
        <v>12.44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IFERROR(__xludf.DUMMYFUNCTION("IMPORTRANGE(""https://docs.google.com/spreadsheets/d/1C3CXT74ZlgGe6_JY_1olB1XN4rF0dxEuIIF-xsYjHgg/edit?usp=sharing"",""พรบ!CB59"")"),220)</f>
        <v>220</v>
      </c>
      <c r="J238" s="66">
        <f ca="1">IFERROR(__xludf.DUMMYFUNCTION("IMPORTRANGE(""https://docs.google.com/spreadsheets/d/1AGHcLOeeYFL3K4b9R1dSzyJy00PE_ra89DNTVfnxSWM/edit?usp=sharing"",""รวมที่ทำกิน!S48"")"),0)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IFERROR(__xludf.DUMMYFUNCTION("IMPORTRANGE(""https://docs.google.com/spreadsheets/d/1AGHcLOeeYFL3K4b9R1dSzyJy00PE_ra89DNTVfnxSWM/edit?usp=sharing"",""รวมที่ทำกิน!U48"")"),0)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IFERROR(__xludf.DUMMYFUNCTION("IMPORTRANGE(""https://docs.google.com/spreadsheets/d/1C3CXT74ZlgGe6_JY_1olB1XN4rF0dxEuIIF-xsYjHgg/edit?usp=sharing"",""พรบ!CC59"")"),220)</f>
        <v>220</v>
      </c>
      <c r="J240" s="66">
        <f ca="1">IFERROR(__xludf.DUMMYFUNCTION("IMPORTRANGE(""https://docs.google.com/spreadsheets/d/1AGHcLOeeYFL3K4b9R1dSzyJy00PE_ra89DNTVfnxSWM/edit?usp=sharing"",""รวมที่ทำกิน!W48"")"),0)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IFERROR(__xludf.DUMMYFUNCTION("IMPORTRANGE(""https://docs.google.com/spreadsheets/d/1AGHcLOeeYFL3K4b9R1dSzyJy00PE_ra89DNTVfnxSWM/edit?usp=sharing"",""รวมที่ทำกิน!Y48"")"),0)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3142638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150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380760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30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380760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IFERROR(__xludf.DUMMYFUNCTION("IMPORTRANGE(""https://docs.google.com/spreadsheets/d/1C3CXT74ZlgGe6_JY_1olB1XN4rF0dxEuIIF-xsYjHgg/edit?usp=sharing"",""งบกองทุน!d59"")"),0)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IFERROR(__xludf.DUMMYFUNCTION("IMPORTRANGE(""https://docs.google.com/spreadsheets/d/1C3CXT74ZlgGe6_JY_1olB1XN4rF0dxEuIIF-xsYjHgg/edit?usp=sharing"",""งบกองทุน!e59"")"),380760)</f>
        <v>380760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233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IFERROR(__xludf.DUMMYFUNCTION("IMPORTRANGE(""https://docs.google.com/spreadsheets/d/1C3CXT74ZlgGe6_JY_1olB1XN4rF0dxEuIIF-xsYjHgg/edit?usp=sharing"",""งบกองทุน!f59"")"),0)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314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233" t="s">
        <v>118</v>
      </c>
      <c r="H262" s="65" t="s">
        <v>103</v>
      </c>
      <c r="I262" s="66">
        <f t="shared" ref="I262:J262" ca="1" si="59">SUM(I264,I266)</f>
        <v>150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IFERROR(__xludf.DUMMYFUNCTION("IMPORTRANGE(""https://docs.google.com/spreadsheets/d/1C3CXT74ZlgGe6_JY_1olB1XN4rF0dxEuIIF-xsYjHgg/edit?usp=sharing"",""งบกองทุน!H59"")"),30)</f>
        <v>30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IFERROR(__xludf.DUMMYFUNCTION("IMPORTRANGE(""https://docs.google.com/spreadsheets/d/1C3CXT74ZlgGe6_JY_1olB1XN4rF0dxEuIIF-xsYjHgg/edit?usp=sharing"",""งบกองทุน!i59"")"),0)</f>
        <v>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30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IFERROR(__xludf.DUMMYFUNCTION("IMPORTRANGE(""https://docs.google.com/spreadsheets/d/1C3CXT74ZlgGe6_JY_1olB1XN4rF0dxEuIIF-xsYjHgg/edit?usp=sharing"",""งบกองทุน!k59"")"),150)</f>
        <v>150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30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233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IFERROR(__xludf.DUMMYFUNCTION("IMPORTRANGE(""https://docs.google.com/spreadsheets/d/1C3CXT74ZlgGe6_JY_1olB1XN4rF0dxEuIIF-xsYjHgg/edit?usp=sharing"",""งบกองทุน!m59"")"),0)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314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150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IFERROR(__xludf.DUMMYFUNCTION("IMPORTRANGE(""https://docs.google.com/spreadsheets/d/1C3CXT74ZlgGe6_JY_1olB1XN4rF0dxEuIIF-xsYjHgg/edit?usp=sharing"",""งบกองทุน!o59"")"),150)</f>
        <v>150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IFERROR(__xludf.DUMMYFUNCTION("IMPORTRANGE(""https://docs.google.com/spreadsheets/d/1C3CXT74ZlgGe6_JY_1olB1XN4rF0dxEuIIF-xsYjHgg/edit?usp=sharing"",""งบกองทุน!p59"")"),0)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IFERROR(__xludf.DUMMYFUNCTION("IMPORTRANGE(""https://docs.google.com/spreadsheets/d/1C3CXT74ZlgGe6_JY_1olB1XN4rF0dxEuIIF-xsYjHgg/edit?usp=sharing"",""งบกองทุน!r59"")"),0)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IFERROR(__xludf.DUMMYFUNCTION("IMPORTRANGE(""https://docs.google.com/spreadsheets/d/1C3CXT74ZlgGe6_JY_1olB1XN4rF0dxEuIIF-xsYjHgg/edit?usp=sharing"",""งบกองทุน!s59"")"),1028520)</f>
        <v>1028520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1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IFERROR(__xludf.DUMMYFUNCTION("IMPORTRANGE(""https://docs.google.com/spreadsheets/d/1C3CXT74ZlgGe6_JY_1olB1XN4rF0dxEuIIF-xsYjHgg/edit?usp=sharing"",""งบกองทุน!v59"")"),100)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IFERROR(__xludf.DUMMYFUNCTION("IMPORTRANGE(""https://docs.google.com/spreadsheets/d/1C3CXT74ZlgGe6_JY_1olB1XN4rF0dxEuIIF-xsYjHgg/edit?usp=sharing"",""งบกองทุน!w59"")"),1000)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IFERROR(__xludf.DUMMYFUNCTION("IMPORTRANGE(""https://docs.google.com/spreadsheets/d/1C3CXT74ZlgGe6_JY_1olB1XN4rF0dxEuIIF-xsYjHgg/edit?usp=sharing"",""งบกองทุน!x59"")"),100)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144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169190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48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169190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IFERROR(__xludf.DUMMYFUNCTION("IMPORTRANGE(""https://docs.google.com/spreadsheets/d/1C3CXT74ZlgGe6_JY_1olB1XN4rF0dxEuIIF-xsYjHgg/edit?usp=sharing"",""งบกองทุน!z59"")"),0)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IFERROR(__xludf.DUMMYFUNCTION("IMPORTRANGE(""https://docs.google.com/spreadsheets/d/1C3CXT74ZlgGe6_JY_1olB1XN4rF0dxEuIIF-xsYjHgg/edit?usp=sharing"",""งบกองทุน!aa59"")"),169190)</f>
        <v>169190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48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IFERROR(__xludf.DUMMYFUNCTION("IMPORTRANGE(""https://docs.google.com/spreadsheets/d/1C3CXT74ZlgGe6_JY_1olB1XN4rF0dxEuIIF-xsYjHgg/edit?usp=sharing"",""งบกองทุน!ae59"")"),13)</f>
        <v>13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IFERROR(__xludf.DUMMYFUNCTION("IMPORTRANGE(""https://docs.google.com/spreadsheets/d/1C3CXT74ZlgGe6_JY_1olB1XN4rF0dxEuIIF-xsYjHgg/edit?usp=sharing"",""งบกองทุน!ad59"")"),39)</f>
        <v>39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IFERROR(__xludf.DUMMYFUNCTION("IMPORTRANGE(""https://docs.google.com/spreadsheets/d/1C3CXT74ZlgGe6_JY_1olB1XN4rF0dxEuIIF-xsYjHgg/edit?usp=sharing"",""งบกองทุน!af59"")"),13)</f>
        <v>13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IFERROR(__xludf.DUMMYFUNCTION("IMPORTRANGE(""https://docs.google.com/spreadsheets/d/1C3CXT74ZlgGe6_JY_1olB1XN4rF0dxEuIIF-xsYjHgg/edit?usp=sharing"",""งบกองทุน!ag59"")"),13)</f>
        <v>13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IFERROR(__xludf.DUMMYFUNCTION("IMPORTRANGE(""https://docs.google.com/spreadsheets/d/1C3CXT74ZlgGe6_JY_1olB1XN4rF0dxEuIIF-xsYjHgg/edit?usp=sharing"",""งบกองทุน!ai59"")"),25)</f>
        <v>25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IFERROR(__xludf.DUMMYFUNCTION("IMPORTRANGE(""https://docs.google.com/spreadsheets/d/1C3CXT74ZlgGe6_JY_1olB1XN4rF0dxEuIIF-xsYjHgg/edit?usp=sharing"",""งบกองทุน!ah59"")"),75)</f>
        <v>75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IFERROR(__xludf.DUMMYFUNCTION("IMPORTRANGE(""https://docs.google.com/spreadsheets/d/1C3CXT74ZlgGe6_JY_1olB1XN4rF0dxEuIIF-xsYjHgg/edit?usp=sharing"",""งบกองทุน!aj59"")"),25)</f>
        <v>25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IFERROR(__xludf.DUMMYFUNCTION("IMPORTRANGE(""https://docs.google.com/spreadsheets/d/1C3CXT74ZlgGe6_JY_1olB1XN4rF0dxEuIIF-xsYjHgg/edit?usp=sharing"",""งบกองทุน!ak59"")"),25)</f>
        <v>25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IFERROR(__xludf.DUMMYFUNCTION("IMPORTRANGE(""https://docs.google.com/spreadsheets/d/1C3CXT74ZlgGe6_JY_1olB1XN4rF0dxEuIIF-xsYjHgg/edit?usp=sharing"",""งบกองทุน!al59"")"),25)</f>
        <v>25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IFERROR(__xludf.DUMMYFUNCTION("IMPORTRANGE(""https://docs.google.com/spreadsheets/d/1C3CXT74ZlgGe6_JY_1olB1XN4rF0dxEuIIF-xsYjHgg/edit?usp=sharing"",""งบกองทุน!an59"")"),10)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IFERROR(__xludf.DUMMYFUNCTION("IMPORTRANGE(""https://docs.google.com/spreadsheets/d/1C3CXT74ZlgGe6_JY_1olB1XN4rF0dxEuIIF-xsYjHgg/edit?usp=sharing"",""งบกองทุน!am59"")"),30)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IFERROR(__xludf.DUMMYFUNCTION("IMPORTRANGE(""https://docs.google.com/spreadsheets/d/1C3CXT74ZlgGe6_JY_1olB1XN4rF0dxEuIIF-xsYjHgg/edit?usp=sharing"",""งบกองทุน!ao59"")"),10)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IFERROR(__xludf.DUMMYFUNCTION("IMPORTRANGE(""https://docs.google.com/spreadsheets/d/1C3CXT74ZlgGe6_JY_1olB1XN4rF0dxEuIIF-xsYjHgg/edit?usp=sharing"",""งบกองทุน!ap59"")"),10)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38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IFERROR(__xludf.DUMMYFUNCTION("IMPORTRANGE(""https://docs.google.com/spreadsheets/d/1C3CXT74ZlgGe6_JY_1olB1XN4rF0dxEuIIF-xsYjHgg/edit?usp=sharing"",""งบกองทุน!ar59"")"),13)</f>
        <v>13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IFERROR(__xludf.DUMMYFUNCTION("IMPORTRANGE(""https://docs.google.com/spreadsheets/d/1C3CXT74ZlgGe6_JY_1olB1XN4rF0dxEuIIF-xsYjHgg/edit?usp=sharing"",""งบกองทุน!as59"")"),25)</f>
        <v>25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40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139000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139000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IFERROR(__xludf.DUMMYFUNCTION("IMPORTRANGE(""https://docs.google.com/spreadsheets/d/1C3CXT74ZlgGe6_JY_1olB1XN4rF0dxEuIIF-xsYjHgg/edit?usp=sharing"",""งบกองทุน!au59"")"),0)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IFERROR(__xludf.DUMMYFUNCTION("IMPORTRANGE(""https://docs.google.com/spreadsheets/d/1C3CXT74ZlgGe6_JY_1olB1XN4rF0dxEuIIF-xsYjHgg/edit?usp=sharing"",""งบกองทุน!av59"")"),139000)</f>
        <v>139000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40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IFERROR(__xludf.DUMMYFUNCTION("IMPORTRANGE(""https://docs.google.com/spreadsheets/d/1C3CXT74ZlgGe6_JY_1olB1XN4rF0dxEuIIF-xsYjHgg/edit?usp=sharing"",""งบกองทุน!ay59"")"),40)</f>
        <v>40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IFERROR(__xludf.DUMMYFUNCTION("IMPORTRANGE(""https://docs.google.com/spreadsheets/d/1C3CXT74ZlgGe6_JY_1olB1XN4rF0dxEuIIF-xsYjHgg/edit?usp=sharing"",""งบกองทุน!az59"")"),0)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IFERROR(__xludf.DUMMYFUNCTION("IMPORTRANGE(""https://docs.google.com/spreadsheets/d/1C3CXT74ZlgGe6_JY_1olB1XN4rF0dxEuIIF-xsYjHgg/edit?usp=sharing"",""งบกองทุน!Ba59"")"),0)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180799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1031428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1031428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IFERROR(__xludf.DUMMYFUNCTION("IMPORTRANGE(""https://docs.google.com/spreadsheets/d/1C3CXT74ZlgGe6_JY_1olB1XN4rF0dxEuIIF-xsYjHgg/edit?usp=sharing"",""งบกองทุน!Bc59"")"),0)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IFERROR(__xludf.DUMMYFUNCTION("IMPORTRANGE(""https://docs.google.com/spreadsheets/d/1C3CXT74ZlgGe6_JY_1olB1XN4rF0dxEuIIF-xsYjHgg/edit?usp=sharing"",""งบกองทุน!Bd59"")"),1031428)</f>
        <v>1031428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IFERROR(__xludf.DUMMYFUNCTION("IMPORTRANGE(""https://docs.google.com/spreadsheets/d/1C3CXT74ZlgGe6_JY_1olB1XN4rF0dxEuIIF-xsYjHgg/edit?usp=sharing"",""งบกองทุน!BE59"")"),180799)</f>
        <v>180799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IFERROR(__xludf.DUMMYFUNCTION("IMPORTRANGE(""https://docs.google.com/spreadsheets/d/1C3CXT74ZlgGe6_JY_1olB1XN4rF0dxEuIIF-xsYjHgg/edit?usp=sharing"",""งบกองทุน!BE59"")"),180799)</f>
        <v>180799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IFERROR(__xludf.DUMMYFUNCTION("IMPORTRANGE(""https://docs.google.com/spreadsheets/d/1C3CXT74ZlgGe6_JY_1olB1XN4rF0dxEuIIF-xsYjHgg/edit?usp=sharing"",""งบกองทุน!Bf59"")"),13419)</f>
        <v>13419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180799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13419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180799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13419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IFERROR(__xludf.DUMMYFUNCTION("IMPORTRANGE(""https://docs.google.com/spreadsheets/d/1C3CXT74ZlgGe6_JY_1olB1XN4rF0dxEuIIF-xsYjHgg/edit?usp=sharing"",""งบกองทุน!cd59"")"),0)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IFERROR(__xludf.DUMMYFUNCTION("IMPORTRANGE(""https://docs.google.com/spreadsheets/d/1C3CXT74ZlgGe6_JY_1olB1XN4rF0dxEuIIF-xsYjHgg/edit?usp=sharing"",""งบกองทุน!cd59"")"),0)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IFERROR(__xludf.DUMMYFUNCTION("IMPORTRANGE(""https://docs.google.com/spreadsheets/d/1C3CXT74ZlgGe6_JY_1olB1XN4rF0dxEuIIF-xsYjHgg/edit?usp=sharing"",""งบกองทุน!cc59"")"),0)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IFERROR(__xludf.DUMMYFUNCTION("IMPORTRANGE(""https://docs.google.com/spreadsheets/d/1C3CXT74ZlgGe6_JY_1olB1XN4rF0dxEuIIF-xsYjHgg/edit?usp=sharing"",""งบกองทุน!cz59"")"),0)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IFERROR(__xludf.DUMMYFUNCTION("IMPORTRANGE(""https://docs.google.com/spreadsheets/d/1C3CXT74ZlgGe6_JY_1olB1XN4rF0dxEuIIF-xsYjHgg/edit?usp=sharing"",""งบกองทุน!cz59"")"),0)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IFERROR(__xludf.DUMMYFUNCTION("IMPORTRANGE(""https://docs.google.com/spreadsheets/d/1C3CXT74ZlgGe6_JY_1olB1XN4rF0dxEuIIF-xsYjHgg/edit?usp=sharing"",""งบกองทุน!cy59"")"),0)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IFERROR(__xludf.DUMMYFUNCTION("IMPORTRANGE(""https://docs.google.com/spreadsheets/d/1C3CXT74ZlgGe6_JY_1olB1XN4rF0dxEuIIF-xsYjHgg/edit?usp=sharing"",""งบกองทุน!db59"")"),0)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IFERROR(__xludf.DUMMYFUNCTION("IMPORTRANGE(""https://docs.google.com/spreadsheets/d/1C3CXT74ZlgGe6_JY_1olB1XN4rF0dxEuIIF-xsYjHgg/edit?usp=sharing"",""งบกองทุน!da59"")"),0)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IFERROR(__xludf.DUMMYFUNCTION("IMPORTRANGE(""https://docs.google.com/spreadsheets/d/1C3CXT74ZlgGe6_JY_1olB1XN4rF0dxEuIIF-xsYjHgg/edit?usp=sharing"",""งบกองทุน!dd59"")"),0)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IFERROR(__xludf.DUMMYFUNCTION("IMPORTRANGE(""https://docs.google.com/spreadsheets/d/1C3CXT74ZlgGe6_JY_1olB1XN4rF0dxEuIIF-xsYjHgg/edit?usp=sharing"",""งบกองทุน!dc59"")"),0)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IFERROR(__xludf.DUMMYFUNCTION("IMPORTRANGE(""https://docs.google.com/spreadsheets/d/1C3CXT74ZlgGe6_JY_1olB1XN4rF0dxEuIIF-xsYjHgg/edit?usp=sharing"",""งบกองทุน!df59"")"),0)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IFERROR(__xludf.DUMMYFUNCTION("IMPORTRANGE(""https://docs.google.com/spreadsheets/d/1C3CXT74ZlgGe6_JY_1olB1XN4rF0dxEuIIF-xsYjHgg/edit?usp=sharing"",""งบกองทุน!de59"")"),0)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28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39440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39440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IFERROR(__xludf.DUMMYFUNCTION("IMPORTRANGE(""https://docs.google.com/spreadsheets/d/1C3CXT74ZlgGe6_JY_1olB1XN4rF0dxEuIIF-xsYjHgg/edit?usp=sharing"",""งบกองทุน!dn59"")"),0)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IFERROR(__xludf.DUMMYFUNCTION("IMPORTRANGE(""https://docs.google.com/spreadsheets/d/1C3CXT74ZlgGe6_JY_1olB1XN4rF0dxEuIIF-xsYjHgg/edit?usp=sharing"",""งบกองทุน!do59"")"),39440)</f>
        <v>39440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1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0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IFERROR(__xludf.DUMMYFUNCTION("IMPORTRANGE(""https://docs.google.com/spreadsheets/d/1C3CXT74ZlgGe6_JY_1olB1XN4rF0dxEuIIF-xsYjHgg/edit?usp=sharing"",""งบกองทุน!dq59"")"),28)</f>
        <v>28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IFERROR(__xludf.DUMMYFUNCTION("IMPORTRANGE(""https://docs.google.com/spreadsheets/d/1C3CXT74ZlgGe6_JY_1olB1XN4rF0dxEuIIF-xsYjHgg/edit?usp=sharing"",""งบกองทุน!dr59"")"),28)</f>
        <v>28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3000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198000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198000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IFERROR(__xludf.DUMMYFUNCTION("IMPORTRANGE(""https://docs.google.com/spreadsheets/d/1C3CXT74ZlgGe6_JY_1olB1XN4rF0dxEuIIF-xsYjHgg/edit?usp=sharing"",""งบกองทุน!dt59"")"),0)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IFERROR(__xludf.DUMMYFUNCTION("IMPORTRANGE(""https://docs.google.com/spreadsheets/d/1C3CXT74ZlgGe6_JY_1olB1XN4rF0dxEuIIF-xsYjHgg/edit?usp=sharing"",""งบกองทุน!du59"")"),198000)</f>
        <v>198000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3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3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3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3">
        <v>0</v>
      </c>
      <c r="N452" s="52"/>
    </row>
    <row r="453" spans="1:14" ht="21.75" customHeight="1" x14ac:dyDescent="0.55000000000000004">
      <c r="A453" s="229"/>
      <c r="B453" s="230"/>
      <c r="C453" s="230"/>
      <c r="D453" s="312"/>
      <c r="E453" s="313"/>
      <c r="F453" s="313" t="s">
        <v>186</v>
      </c>
      <c r="G453" s="314"/>
      <c r="H453" s="315" t="s">
        <v>103</v>
      </c>
      <c r="I453" s="66">
        <f ca="1">IFERROR(__xludf.DUMMYFUNCTION("IMPORTRANGE(""https://docs.google.com/spreadsheets/d/1C3CXT74ZlgGe6_JY_1olB1XN4rF0dxEuIIF-xsYjHgg/edit?usp=sharing"",""งบกองทุน!dw59"")"),3000)</f>
        <v>3000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52"/>
    </row>
    <row r="454" spans="1:14" ht="21.75" customHeight="1" x14ac:dyDescent="0.55000000000000004">
      <c r="A454" s="229"/>
      <c r="B454" s="230"/>
      <c r="C454" s="230"/>
      <c r="D454" s="312"/>
      <c r="E454" s="313"/>
      <c r="F454" s="313"/>
      <c r="G454" s="314"/>
      <c r="H454" s="315" t="s">
        <v>15</v>
      </c>
      <c r="I454" s="66">
        <f ca="1">IFERROR(__xludf.DUMMYFUNCTION("IMPORTRANGE(""https://docs.google.com/spreadsheets/d/1C3CXT74ZlgGe6_JY_1olB1XN4rF0dxEuIIF-xsYjHgg/edit?usp=sharing"",""งบกองทุน!dx59"")"),0)</f>
        <v>0</v>
      </c>
      <c r="J454" s="66">
        <v>0</v>
      </c>
      <c r="K454" s="232">
        <f t="shared" ca="1" si="100"/>
        <v>0</v>
      </c>
      <c r="L454" s="52"/>
      <c r="M454" s="52"/>
      <c r="N454" s="52"/>
    </row>
    <row r="455" spans="1:14" ht="21.75" customHeight="1" x14ac:dyDescent="0.55000000000000004">
      <c r="A455" s="229"/>
      <c r="B455" s="230"/>
      <c r="C455" s="230"/>
      <c r="D455" s="312"/>
      <c r="E455" s="313"/>
      <c r="F455" s="313" t="s">
        <v>187</v>
      </c>
      <c r="G455" s="314"/>
      <c r="H455" s="315" t="s">
        <v>103</v>
      </c>
      <c r="I455" s="66">
        <f ca="1">IFERROR(__xludf.DUMMYFUNCTION("IMPORTRANGE(""https://docs.google.com/spreadsheets/d/1C3CXT74ZlgGe6_JY_1olB1XN4rF0dxEuIIF-xsYjHgg/edit?usp=sharing"",""งบกองทุน!dy59"")"),0)</f>
        <v>0</v>
      </c>
      <c r="J455" s="66">
        <v>0</v>
      </c>
      <c r="K455" s="232">
        <f t="shared" ca="1" si="100"/>
        <v>0</v>
      </c>
      <c r="L455" s="52"/>
      <c r="M455" s="52"/>
      <c r="N455" s="52"/>
    </row>
    <row r="456" spans="1:14" ht="21.75" customHeight="1" x14ac:dyDescent="0.55000000000000004">
      <c r="A456" s="229"/>
      <c r="B456" s="230"/>
      <c r="C456" s="230"/>
      <c r="D456" s="312"/>
      <c r="E456" s="313"/>
      <c r="F456" s="313"/>
      <c r="G456" s="314"/>
      <c r="H456" s="315" t="s">
        <v>15</v>
      </c>
      <c r="I456" s="66">
        <f ca="1">IFERROR(__xludf.DUMMYFUNCTION("IMPORTRANGE(""https://docs.google.com/spreadsheets/d/1C3CXT74ZlgGe6_JY_1olB1XN4rF0dxEuIIF-xsYjHgg/edit?usp=sharing"",""งบกองทุน!dz59"")"),0)</f>
        <v>0</v>
      </c>
      <c r="J456" s="66">
        <v>0</v>
      </c>
      <c r="K456" s="232">
        <f t="shared" ca="1" si="100"/>
        <v>0</v>
      </c>
      <c r="L456" s="52"/>
      <c r="M456" s="52"/>
      <c r="N456" s="52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1900</v>
      </c>
      <c r="J457" s="226">
        <f>+J466</f>
        <v>530</v>
      </c>
      <c r="K457" s="227">
        <f t="shared" ca="1" si="100"/>
        <v>27.894736842105264</v>
      </c>
      <c r="L457" s="228">
        <f t="shared" ref="L457:M457" ca="1" si="101">SUM(L458:L459)</f>
        <v>138000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138000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IFERROR(__xludf.DUMMYFUNCTION("IMPORTRANGE(""https://docs.google.com/spreadsheets/d/1C3CXT74ZlgGe6_JY_1olB1XN4rF0dxEuIIF-xsYjHgg/edit?usp=sharing"",""งบกองทุน!Eb59"")"),0)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IFERROR(__xludf.DUMMYFUNCTION("IMPORTRANGE(""https://docs.google.com/spreadsheets/d/1C3CXT74ZlgGe6_JY_1olB1XN4rF0dxEuIIF-xsYjHgg/edit?usp=sharing"",""งบกองทุน!Ec59"")"),138000)</f>
        <v>138000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IFERROR(__xludf.DUMMYFUNCTION("IMPORTRANGE(""https://docs.google.com/spreadsheets/d/1C3CXT74ZlgGe6_JY_1olB1XN4rF0dxEuIIF-xsYjHgg/edit?usp=sharing"",""งบกองทุน!Ed59"")"),1900)</f>
        <v>1900</v>
      </c>
      <c r="J466" s="265">
        <f>+J469+J470+J471+J472</f>
        <v>530</v>
      </c>
      <c r="K466" s="79">
        <f ca="1">IF(I466&gt;0,J466*100/I466,0)</f>
        <v>27.894736842105264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530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IFERROR(__xludf.DUMMYFUNCTION("IMPORTRANGE(""https://docs.google.com/spreadsheets/d/1C3CXT74ZlgGe6_JY_1olB1XN4rF0dxEuIIF-xsYjHgg/edit?usp=sharing"",""งบกองทุน!Ek59"")"),0)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IFERROR(__xludf.DUMMYFUNCTION("IMPORTRANGE(""https://docs.google.com/spreadsheets/d/1C3CXT74ZlgGe6_JY_1olB1XN4rF0dxEuIIF-xsYjHgg/edit?usp=sharing"",""งบกองทุน!El59"")"),0)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IFERROR(__xludf.DUMMYFUNCTION("IMPORTRANGE(""https://docs.google.com/spreadsheets/d/1C3CXT74ZlgGe6_JY_1olB1XN4rF0dxEuIIF-xsYjHgg/edit?usp=sharing"",""งบกองทุน!Em59"")"),0)</f>
        <v>0</v>
      </c>
      <c r="J482" s="66">
        <f ca="1">IFERROR(__xludf.DUMMYFUNCTION("IMPORTRANGE(""https://docs.google.com/spreadsheets/d/1AGHcLOeeYFL3K4b9R1dSzyJy00PE_ra89DNTVfnxSWM/edit?usp=sharing"",""รวมที่ชุมชน!G48"")"),0)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IFERROR(__xludf.DUMMYFUNCTION("IMPORTRANGE(""https://docs.google.com/spreadsheets/d/1C3CXT74ZlgGe6_JY_1olB1XN4rF0dxEuIIF-xsYjHgg/edit?usp=sharing"",""งบกองทุน!En59"")"),0)</f>
        <v>0</v>
      </c>
      <c r="J483" s="66">
        <f ca="1">IFERROR(__xludf.DUMMYFUNCTION("IMPORTRANGE(""https://docs.google.com/spreadsheets/d/1AGHcLOeeYFL3K4b9R1dSzyJy00PE_ra89DNTVfnxSWM/edit?usp=sharing"",""รวมที่ชุมชน!H48"")"),0)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IFERROR(__xludf.DUMMYFUNCTION("IMPORTRANGE(""https://docs.google.com/spreadsheets/d/1C3CXT74ZlgGe6_JY_1olB1XN4rF0dxEuIIF-xsYjHgg/edit?usp=sharing"",""งบกองทุน!Eo59"")"),0)</f>
        <v>0</v>
      </c>
      <c r="J484" s="66">
        <f ca="1">IFERROR(__xludf.DUMMYFUNCTION("IMPORTRANGE(""https://docs.google.com/spreadsheets/d/1AGHcLOeeYFL3K4b9R1dSzyJy00PE_ra89DNTVfnxSWM/edit?usp=sharing"",""รวมที่ชุมชน!J48"")"),0)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IFERROR(__xludf.DUMMYFUNCTION("IMPORTRANGE(""https://docs.google.com/spreadsheets/d/1C3CXT74ZlgGe6_JY_1olB1XN4rF0dxEuIIF-xsYjHgg/edit?usp=sharing"",""งบกองทุน!Ep59"")"),0)</f>
        <v>0</v>
      </c>
      <c r="J485" s="66">
        <f ca="1">IFERROR(__xludf.DUMMYFUNCTION("IMPORTRANGE(""https://docs.google.com/spreadsheets/d/1AGHcLOeeYFL3K4b9R1dSzyJy00PE_ra89DNTVfnxSWM/edit?usp=sharing"",""รวมที่ชุมชน!L48"")"),0)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IFERROR(__xludf.DUMMYFUNCTION("IMPORTRANGE(""https://docs.google.com/spreadsheets/d/1C3CXT74ZlgGe6_JY_1olB1XN4rF0dxEuIIF-xsYjHgg/edit?usp=sharing"",""งบกองทุน!Eq59"")"),0)</f>
        <v>0</v>
      </c>
      <c r="J486" s="66">
        <f ca="1">IFERROR(__xludf.DUMMYFUNCTION("IMPORTRANGE(""https://docs.google.com/spreadsheets/d/1AGHcLOeeYFL3K4b9R1dSzyJy00PE_ra89DNTVfnxSWM/edit?usp=sharing"",""รวมที่ชุมชน!S48"")"),0)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IFERROR(__xludf.DUMMYFUNCTION("IMPORTRANGE(""https://docs.google.com/spreadsheets/d/1C3CXT74ZlgGe6_JY_1olB1XN4rF0dxEuIIF-xsYjHgg/edit?usp=sharing"",""งบกองทุน!Er59"")"),0)</f>
        <v>0</v>
      </c>
      <c r="J487" s="66">
        <f ca="1">IFERROR(__xludf.DUMMYFUNCTION("IMPORTRANGE(""https://docs.google.com/spreadsheets/d/1AGHcLOeeYFL3K4b9R1dSzyJy00PE_ra89DNTVfnxSWM/edit?usp=sharing"",""รวมที่ชุมชน!U48"")"),0)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IFERROR(__xludf.DUMMYFUNCTION("IMPORTRANGE(""https://docs.google.com/spreadsheets/d/1C3CXT74ZlgGe6_JY_1olB1XN4rF0dxEuIIF-xsYjHgg/edit?usp=sharing"",""งบกองทุน!Es59"")"),0)</f>
        <v>0</v>
      </c>
      <c r="J488" s="66">
        <f ca="1">IFERROR(__xludf.DUMMYFUNCTION("IMPORTRANGE(""https://docs.google.com/spreadsheets/d/1AGHcLOeeYFL3K4b9R1dSzyJy00PE_ra89DNTVfnxSWM/edit?usp=sharing"",""รวมที่ชุมชน!V48"")"),0)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IFERROR(__xludf.DUMMYFUNCTION("IMPORTRANGE(""https://docs.google.com/spreadsheets/d/1C3CXT74ZlgGe6_JY_1olB1XN4rF0dxEuIIF-xsYjHgg/edit?usp=sharing"",""งบกองทุน!Et59"")"),0)</f>
        <v>0</v>
      </c>
      <c r="J489" s="111">
        <f ca="1">IFERROR(__xludf.DUMMYFUNCTION("IMPORTRANGE(""https://docs.google.com/spreadsheets/d/1AGHcLOeeYFL3K4b9R1dSzyJy00PE_ra89DNTVfnxSWM/edit?usp=sharing"",""รวมที่ชุมชน!X48"")"),0)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300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18300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18300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IFERROR(__xludf.DUMMYFUNCTION("IMPORTRANGE(""https://docs.google.com/spreadsheets/d/1C3CXT74ZlgGe6_JY_1olB1XN4rF0dxEuIIF-xsYjHgg/edit?usp=sharing"",""งบกองทุน!Ev59"")"),0)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IFERROR(__xludf.DUMMYFUNCTION("IMPORTRANGE(""https://docs.google.com/spreadsheets/d/1C3CXT74ZlgGe6_JY_1olB1XN4rF0dxEuIIF-xsYjHgg/edit?usp=sharing"",""งบกองทุน!Ew59"")"),18300)</f>
        <v>18300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IFERROR(__xludf.DUMMYFUNCTION("IMPORTRANGE(""https://docs.google.com/spreadsheets/d/1C3CXT74ZlgGe6_JY_1olB1XN4rF0dxEuIIF-xsYjHgg/edit?usp=sharing"",""งบกองทุน!EZ59"")"),300)</f>
        <v>300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IFERROR(__xludf.DUMMYFUNCTION("IMPORTRANGE(""https://docs.google.com/spreadsheets/d/1C3CXT74ZlgGe6_JY_1olB1XN4rF0dxEuIIF-xsYjHgg/edit?usp=sharing"",""งบกองทุน!ff59"")"),0)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IFERROR(__xludf.DUMMYFUNCTION("IMPORTRANGE(""https://docs.google.com/spreadsheets/d/1muirlRDkqiswvy_NRZ3Yh955hx-PF6_HhssUYiSJj8o/edit?usp=sharing"",""กองทุน!D59"")"),1500000)</f>
        <v>1500000</v>
      </c>
      <c r="J521" s="199">
        <f ca="1">IFERROR(__xludf.DUMMYFUNCTION("IMPORTRANGE(""https://docs.google.com/spreadsheets/d/1muirlRDkqiswvy_NRZ3Yh955hx-PF6_HhssUYiSJj8o/edit?usp=sharing"",""กองทุน!F59"")"),7919.74)</f>
        <v>7919.74</v>
      </c>
      <c r="K521" s="200">
        <f t="shared" ref="K521:K528" ca="1" si="116">IF(I521&gt;0,J521*100/I521,0)</f>
        <v>0.52798266666666671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IFERROR(__xludf.DUMMYFUNCTION("IMPORTRANGE(""https://docs.google.com/spreadsheets/d/1muirlRDkqiswvy_NRZ3Yh955hx-PF6_HhssUYiSJj8o/edit?usp=sharing"",""กองทุน!C59"")"),50)</f>
        <v>50</v>
      </c>
      <c r="J522" s="199">
        <f ca="1">IFERROR(__xludf.DUMMYFUNCTION("IMPORTRANGE(""https://docs.google.com/spreadsheets/d/1muirlRDkqiswvy_NRZ3Yh955hx-PF6_HhssUYiSJj8o/edit?usp=sharing"",""กองทุน!E59"")"),1)</f>
        <v>1</v>
      </c>
      <c r="K522" s="200">
        <f t="shared" ca="1" si="116"/>
        <v>2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IFERROR(__xludf.DUMMYFUNCTION("IMPORTRANGE(""https://docs.google.com/spreadsheets/d/1muirlRDkqiswvy_NRZ3Yh955hx-PF6_HhssUYiSJj8o/edit?usp=sharing"",""กองทุน!I59"")"),36610215.8499999)</f>
        <v>36610215.849999897</v>
      </c>
      <c r="J523" s="199">
        <f ca="1">IFERROR(__xludf.DUMMYFUNCTION("IMPORTRANGE(""https://docs.google.com/spreadsheets/d/1muirlRDkqiswvy_NRZ3Yh955hx-PF6_HhssUYiSJj8o/edit?usp=sharing"",""กองทุน!K59"")"),45184.7)</f>
        <v>45184.7</v>
      </c>
      <c r="K523" s="200">
        <f t="shared" ca="1" si="116"/>
        <v>0.12342101501157941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IFERROR(__xludf.DUMMYFUNCTION("IMPORTRANGE(""https://docs.google.com/spreadsheets/d/1muirlRDkqiswvy_NRZ3Yh955hx-PF6_HhssUYiSJj8o/edit?usp=sharing"",""กองทุน!H59"")"),1005)</f>
        <v>1005</v>
      </c>
      <c r="J524" s="199">
        <f ca="1">IFERROR(__xludf.DUMMYFUNCTION("IMPORTRANGE(""https://docs.google.com/spreadsheets/d/1muirlRDkqiswvy_NRZ3Yh955hx-PF6_HhssUYiSJj8o/edit?usp=sharing"",""กองทุน!J59"")"),5)</f>
        <v>5</v>
      </c>
      <c r="K524" s="200">
        <f t="shared" ca="1" si="116"/>
        <v>0.49751243781094528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IFERROR(__xludf.DUMMYFUNCTION("IMPORTRANGE(""https://docs.google.com/spreadsheets/d/1muirlRDkqiswvy_NRZ3Yh955hx-PF6_HhssUYiSJj8o/edit?usp=sharing"",""กองทุน!N59"")"),381782.43)</f>
        <v>381782.43</v>
      </c>
      <c r="J525" s="199">
        <f ca="1">IFERROR(__xludf.DUMMYFUNCTION("IMPORTRANGE(""https://docs.google.com/spreadsheets/d/1muirlRDkqiswvy_NRZ3Yh955hx-PF6_HhssUYiSJj8o/edit?usp=sharing"",""กองทุน!P59"")"),0)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IFERROR(__xludf.DUMMYFUNCTION("IMPORTRANGE(""https://docs.google.com/spreadsheets/d/1muirlRDkqiswvy_NRZ3Yh955hx-PF6_HhssUYiSJj8o/edit?usp=sharing"",""กองทุน!M59"")"),14)</f>
        <v>14</v>
      </c>
      <c r="J526" s="199">
        <f ca="1">IFERROR(__xludf.DUMMYFUNCTION("IMPORTRANGE(""https://docs.google.com/spreadsheets/d/1muirlRDkqiswvy_NRZ3Yh955hx-PF6_HhssUYiSJj8o/edit?usp=sharing"",""กองทุน!O59"")"),0)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IFERROR(__xludf.DUMMYFUNCTION("IMPORTRANGE(""https://docs.google.com/spreadsheets/d/1muirlRDkqiswvy_NRZ3Yh955hx-PF6_HhssUYiSJj8o/edit?usp=sharing"",""กองทุน!S59"")"),2100000)</f>
        <v>2100000</v>
      </c>
      <c r="J527" s="199">
        <f ca="1">IFERROR(__xludf.DUMMYFUNCTION("IMPORTRANGE(""https://docs.google.com/spreadsheets/d/1muirlRDkqiswvy_NRZ3Yh955hx-PF6_HhssUYiSJj8o/edit?usp=sharing"",""กองทุน!U59"")"),0)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IFERROR(__xludf.DUMMYFUNCTION("IMPORTRANGE(""https://docs.google.com/spreadsheets/d/1muirlRDkqiswvy_NRZ3Yh955hx-PF6_HhssUYiSJj8o/edit?usp=sharing"",""กองทุน!R59"")"),70)</f>
        <v>70</v>
      </c>
      <c r="J528" s="324">
        <f ca="1">IFERROR(__xludf.DUMMYFUNCTION("IMPORTRANGE(""https://docs.google.com/spreadsheets/d/1muirlRDkqiswvy_NRZ3Yh955hx-PF6_HhssUYiSJj8o/edit?usp=sharing"",""กองทุน!T59"")"),0)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243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585765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IFERROR(__xludf.DUMMYFUNCTION("IMPORTRANGE(""https://docs.google.com/spreadsheets/d/1C3CXT74ZlgGe6_JY_1olB1XN4rF0dxEuIIF-xsYjHgg/edit?usp=sharing"",""พรบ!C77"")"),0)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IFERROR(__xludf.DUMMYFUNCTION("IMPORTRANGE(""https://docs.google.com/spreadsheets/d/1C3CXT74ZlgGe6_JY_1olB1XN4rF0dxEuIIF-xsYjHgg/edit?usp=sharing"",""พรบ!D77"")"),0)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IFERROR(__xludf.DUMMYFUNCTION("IMPORTRANGE(""https://docs.google.com/spreadsheets/d/1C3CXT74ZlgGe6_JY_1olB1XN4rF0dxEuIIF-xsYjHgg/edit?usp=sharing"",""พรบ!E77"")"),0)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IFERROR(__xludf.DUMMYFUNCTION("IMPORTRANGE(""https://docs.google.com/spreadsheets/d/1C3CXT74ZlgGe6_JY_1olB1XN4rF0dxEuIIF-xsYjHgg/edit?usp=sharing"",""พรบ!H77"")"),0)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IFERROR(__xludf.DUMMYFUNCTION("IMPORTRANGE(""https://docs.google.com/spreadsheets/d/1C3CXT74ZlgGe6_JY_1olB1XN4rF0dxEuIIF-xsYjHgg/edit?usp=sharing"",""พรบ!I77"")"),0)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IFERROR(__xludf.DUMMYFUNCTION("IMPORTRANGE(""https://docs.google.com/spreadsheets/d/1C3CXT74ZlgGe6_JY_1olB1XN4rF0dxEuIIF-xsYjHgg/edit?usp=sharing"",""พรบ!J77"")"),0)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IFERROR(__xludf.DUMMYFUNCTION("IMPORTRANGE(""https://docs.google.com/spreadsheets/d/1C3CXT74ZlgGe6_JY_1olB1XN4rF0dxEuIIF-xsYjHgg/edit?usp=sharing"",""พรบ!K77"")"),0)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IFERROR(__xludf.DUMMYFUNCTION("IMPORTRANGE(""https://docs.google.com/spreadsheets/d/1C3CXT74ZlgGe6_JY_1olB1XN4rF0dxEuIIF-xsYjHgg/edit?usp=sharing"",""พรบ!L77"")"),0)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IFERROR(__xludf.DUMMYFUNCTION("IMPORTRANGE(""https://docs.google.com/spreadsheets/d/1C3CXT74ZlgGe6_JY_1olB1XN4rF0dxEuIIF-xsYjHgg/edit?usp=sharing"",""พรบ!M77"")"),0)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IFERROR(__xludf.DUMMYFUNCTION("IMPORTRANGE(""https://docs.google.com/spreadsheets/d/1C3CXT74ZlgGe6_JY_1olB1XN4rF0dxEuIIF-xsYjHgg/edit?usp=sharing"",""พรบ!N77"")"),0)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IFERROR(__xludf.DUMMYFUNCTION("IMPORTRANGE(""https://docs.google.com/spreadsheets/d/1C3CXT74ZlgGe6_JY_1olB1XN4rF0dxEuIIF-xsYjHgg/edit?usp=sharing"",""พรบ!O77"")"),0)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IFERROR(__xludf.DUMMYFUNCTION("IMPORTRANGE(""https://docs.google.com/spreadsheets/d/1C3CXT74ZlgGe6_JY_1olB1XN4rF0dxEuIIF-xsYjHgg/edit?usp=sharing"",""พรบ!P77"")"),0)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IFERROR(__xludf.DUMMYFUNCTION("IMPORTRANGE(""https://docs.google.com/spreadsheets/d/1C3CXT74ZlgGe6_JY_1olB1XN4rF0dxEuIIF-xsYjHgg/edit?usp=sharing"",""พรบ!Q77"")"),0)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IFERROR(__xludf.DUMMYFUNCTION("IMPORTRANGE(""https://docs.google.com/spreadsheets/d/1C3CXT74ZlgGe6_JY_1olB1XN4rF0dxEuIIF-xsYjHgg/edit?usp=sharing"",""พรบ!R77"")"),0)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IFERROR(__xludf.DUMMYFUNCTION("IMPORTRANGE(""https://docs.google.com/spreadsheets/d/1C3CXT74ZlgGe6_JY_1olB1XN4rF0dxEuIIF-xsYjHgg/edit?usp=sharing"",""พรบ!S77"")"),0)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IFERROR(__xludf.DUMMYFUNCTION("IMPORTRANGE(""https://docs.google.com/spreadsheets/d/1C3CXT74ZlgGe6_JY_1olB1XN4rF0dxEuIIF-xsYjHgg/edit?usp=sharing"",""พรบ!T77"")"),0)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IFERROR(__xludf.DUMMYFUNCTION("IMPORTRANGE(""https://docs.google.com/spreadsheets/d/1C3CXT74ZlgGe6_JY_1olB1XN4rF0dxEuIIF-xsYjHgg/edit?usp=sharing"",""พรบ!U77"")"),0)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IFERROR(__xludf.DUMMYFUNCTION("IMPORTRANGE(""https://docs.google.com/spreadsheets/d/1C3CXT74ZlgGe6_JY_1olB1XN4rF0dxEuIIF-xsYjHgg/edit?usp=sharing"",""พรบ!V77"")"),0)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IFERROR(__xludf.DUMMYFUNCTION("IMPORTRANGE(""https://docs.google.com/spreadsheets/d/1C3CXT74ZlgGe6_JY_1olB1XN4rF0dxEuIIF-xsYjHgg/edit?usp=sharing"",""พรบ!W77"")"),0)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IFERROR(__xludf.DUMMYFUNCTION("IMPORTRANGE(""https://docs.google.com/spreadsheets/d/1C3CXT74ZlgGe6_JY_1olB1XN4rF0dxEuIIF-xsYjHgg/edit?usp=sharing"",""พรบ!Y77"")"),0)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IFERROR(__xludf.DUMMYFUNCTION("IMPORTRANGE(""https://docs.google.com/spreadsheets/d/1C3CXT74ZlgGe6_JY_1olB1XN4rF0dxEuIIF-xsYjHgg/edit?usp=sharing"",""พรบ!Z77"")"),0)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IFERROR(__xludf.DUMMYFUNCTION("IMPORTRANGE(""https://docs.google.com/spreadsheets/d/1C3CXT74ZlgGe6_JY_1olB1XN4rF0dxEuIIF-xsYjHgg/edit?usp=sharing"",""พรบ!AA77"")"),0)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28700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28700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IFERROR(__xludf.DUMMYFUNCTION("IMPORTRANGE(""https://docs.google.com/spreadsheets/d/1C3CXT74ZlgGe6_JY_1olB1XN4rF0dxEuIIF-xsYjHgg/edit?usp=sharing"",""พรบ!AD77"")"),0)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28700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IFERROR(__xludf.DUMMYFUNCTION("IMPORTRANGE(""https://docs.google.com/spreadsheets/d/1C3CXT74ZlgGe6_JY_1olB1XN4rF0dxEuIIF-xsYjHgg/edit?usp=sharing"",""พรบ!AF77"")"),7500)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IFERROR(__xludf.DUMMYFUNCTION("IMPORTRANGE(""https://docs.google.com/spreadsheets/d/1C3CXT74ZlgGe6_JY_1olB1XN4rF0dxEuIIF-xsYjHgg/edit?usp=sharing"",""พรบ!AG77"")"),4)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IFERROR(__xludf.DUMMYFUNCTION("IMPORTRANGE(""https://docs.google.com/spreadsheets/d/1C3CXT74ZlgGe6_JY_1olB1XN4rF0dxEuIIF-xsYjHgg/edit?usp=sharing"",""พรบ!AH77"")"),14000)</f>
        <v>14000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IFERROR(__xludf.DUMMYFUNCTION("IMPORTRANGE(""https://docs.google.com/spreadsheets/d/1C3CXT74ZlgGe6_JY_1olB1XN4rF0dxEuIIF-xsYjHgg/edit?usp=sharing"",""พรบ!AI77"")"),1)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IFERROR(__xludf.DUMMYFUNCTION("IMPORTRANGE(""https://docs.google.com/spreadsheets/d/1C3CXT74ZlgGe6_JY_1olB1XN4rF0dxEuIIF-xsYjHgg/edit?usp=sharing"",""กปร!C77"")"),12000)</f>
        <v>12000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IFERROR(__xludf.DUMMYFUNCTION("IMPORTRANGE(""https://docs.google.com/spreadsheets/d/1C3CXT74ZlgGe6_JY_1olB1XN4rF0dxEuIIF-xsYjHgg/edit?usp=sharing"",""พรบ!AJ77"")"),0)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IFERROR(__xludf.DUMMYFUNCTION("IMPORTRANGE(""https://docs.google.com/spreadsheets/d/1C3CXT74ZlgGe6_JY_1olB1XN4rF0dxEuIIF-xsYjHgg/edit?usp=sharing"",""พรบ!AK77"")"),0)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IFERROR(__xludf.DUMMYFUNCTION("IMPORTRANGE(""https://docs.google.com/spreadsheets/d/1C3CXT74ZlgGe6_JY_1olB1XN4rF0dxEuIIF-xsYjHgg/edit?usp=sharing"",""กปร!D77"")"),0)</f>
        <v>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IFERROR(__xludf.DUMMYFUNCTION("IMPORTRANGE(""https://docs.google.com/spreadsheets/d/1C3CXT74ZlgGe6_JY_1olB1XN4rF0dxEuIIF-xsYjHgg/edit?usp=sharing"",""พรบ!AL77"")"),0)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IFERROR(__xludf.DUMMYFUNCTION("IMPORTRANGE(""https://docs.google.com/spreadsheets/d/1C3CXT74ZlgGe6_JY_1olB1XN4rF0dxEuIIF-xsYjHgg/edit?usp=sharing"",""กปร!E77"")"),0)</f>
        <v>0</v>
      </c>
      <c r="M111" s="361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8000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7200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7200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IFERROR(__xludf.DUMMYFUNCTION("IMPORTRANGE(""https://docs.google.com/spreadsheets/d/1C3CXT74ZlgGe6_JY_1olB1XN4rF0dxEuIIF-xsYjHgg/edit?usp=sharing"",""พรบ!AM77"")"),7200)</f>
        <v>7200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IFERROR(__xludf.DUMMYFUNCTION("IMPORTRANGE(""https://docs.google.com/spreadsheets/d/1C3CXT74ZlgGe6_JY_1olB1XN4rF0dxEuIIF-xsYjHgg/edit?usp=sharing"",""พรบ!AO77"")"),8000)</f>
        <v>8000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IFERROR(__xludf.DUMMYFUNCTION("IMPORTRANGE(""https://docs.google.com/spreadsheets/d/1C3CXT74ZlgGe6_JY_1olB1XN4rF0dxEuIIF-xsYjHgg/edit?usp=sharing"",""พรบ!AP77"")"),8000)</f>
        <v>8000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IFERROR(__xludf.DUMMYFUNCTION("IMPORTRANGE(""https://docs.google.com/spreadsheets/d/1C3CXT74ZlgGe6_JY_1olB1XN4rF0dxEuIIF-xsYjHgg/edit?usp=sharing"",""กปร!F77"")"),3200)</f>
        <v>3200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IFERROR(__xludf.DUMMYFUNCTION("IMPORTRANGE(""https://docs.google.com/spreadsheets/d/1C3CXT74ZlgGe6_JY_1olB1XN4rF0dxEuIIF-xsYjHgg/edit?usp=sharing"",""พรบ!AQ77"")"),0)</f>
        <v>0</v>
      </c>
      <c r="J126" s="67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IFERROR(__xludf.DUMMYFUNCTION("IMPORTRANGE(""https://docs.google.com/spreadsheets/d/1C3CXT74ZlgGe6_JY_1olB1XN4rF0dxEuIIF-xsYjHgg/edit?usp=sharing"",""กปร!G77"")"),0)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IFERROR(__xludf.DUMMYFUNCTION("IMPORTRANGE(""https://docs.google.com/spreadsheets/d/1C3CXT74ZlgGe6_JY_1olB1XN4rF0dxEuIIF-xsYjHgg/edit?usp=sharing"",""พรบ!AR77"")"),0)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IFERROR(__xludf.DUMMYFUNCTION("IMPORTRANGE(""https://docs.google.com/spreadsheets/d/1C3CXT74ZlgGe6_JY_1olB1XN4rF0dxEuIIF-xsYjHgg/edit?usp=sharing"",""พรบ!AS77"")"),0)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IFERROR(__xludf.DUMMYFUNCTION("IMPORTRANGE(""https://docs.google.com/spreadsheets/d/1C3CXT74ZlgGe6_JY_1olB1XN4rF0dxEuIIF-xsYjHgg/edit?usp=sharing"",""กปร!H77"")"),0)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IFERROR(__xludf.DUMMYFUNCTION("IMPORTRANGE(""https://docs.google.com/spreadsheets/d/1C3CXT74ZlgGe6_JY_1olB1XN4rF0dxEuIIF-xsYjHgg/edit?usp=sharing"",""พรบ!AT77"")"),0)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IFERROR(__xludf.DUMMYFUNCTION("IMPORTRANGE(""https://docs.google.com/spreadsheets/d/1C3CXT74ZlgGe6_JY_1olB1XN4rF0dxEuIIF-xsYjHgg/edit?usp=sharing"",""กปร!I77"")"),0)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IFERROR(__xludf.DUMMYFUNCTION("IMPORTRANGE(""https://docs.google.com/spreadsheets/d/1C3CXT74ZlgGe6_JY_1olB1XN4rF0dxEuIIF-xsYjHgg/edit?usp=sharing"",""พรบ!AU77"")"),0)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IFERROR(__xludf.DUMMYFUNCTION("IMPORTRANGE(""https://docs.google.com/spreadsheets/d/1C3CXT74ZlgGe6_JY_1olB1XN4rF0dxEuIIF-xsYjHgg/edit?usp=sharing"",""กปร!J77"")"),0)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13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19295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IFERROR(__xludf.DUMMYFUNCTION("IMPORTRANGE(""https://docs.google.com/spreadsheets/d/1C3CXT74ZlgGe6_JY_1olB1XN4rF0dxEuIIF-xsYjHgg/edit?usp=sharing"",""พรบ!AY77"")"),19295)</f>
        <v>19295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1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IFERROR(__xludf.DUMMYFUNCTION("IMPORTRANGE(""https://docs.google.com/spreadsheets/d/1C3CXT74ZlgGe6_JY_1olB1XN4rF0dxEuIIF-xsYjHgg/edit?usp=sharing"",""พรบ!BA77"")"),13)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IFERROR(__xludf.DUMMYFUNCTION("IMPORTRANGE(""https://docs.google.com/spreadsheets/d/1C3CXT74ZlgGe6_JY_1olB1XN4rF0dxEuIIF-xsYjHgg/edit?usp=sharing"",""พรบ!BD77"")"),0)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IFERROR(__xludf.DUMMYFUNCTION("IMPORTRANGE(""https://docs.google.com/spreadsheets/d/1C3CXT74ZlgGe6_JY_1olB1XN4rF0dxEuIIF-xsYjHgg/edit?usp=sharing"",""พรบ!BE77"")"),0)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IFERROR(__xludf.DUMMYFUNCTION("IMPORTRANGE(""https://docs.google.com/spreadsheets/d/1C3CXT74ZlgGe6_JY_1olB1XN4rF0dxEuIIF-xsYjHgg/edit?usp=sharing"",""พรบ!BF77"")"),0)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IFERROR(__xludf.DUMMYFUNCTION("IMPORTRANGE(""https://docs.google.com/spreadsheets/d/1C3CXT74ZlgGe6_JY_1olB1XN4rF0dxEuIIF-xsYjHgg/edit?usp=sharing"",""พรบ!BG77"")"),0)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IFERROR(__xludf.DUMMYFUNCTION("IMPORTRANGE(""https://docs.google.com/spreadsheets/d/1C3CXT74ZlgGe6_JY_1olB1XN4rF0dxEuIIF-xsYjHgg/edit?usp=sharing"",""พรบ!BH77"")"),0)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IFERROR(__xludf.DUMMYFUNCTION("IMPORTRANGE(""https://docs.google.com/spreadsheets/d/1C3CXT74ZlgGe6_JY_1olB1XN4rF0dxEuIIF-xsYjHgg/edit?usp=sharing"",""พรบ!BI77"")"),0)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IFERROR(__xludf.DUMMYFUNCTION("IMPORTRANGE(""https://docs.google.com/spreadsheets/d/1C3CXT74ZlgGe6_JY_1olB1XN4rF0dxEuIIF-xsYjHgg/edit?usp=sharing"",""พรบ!BK77"")"),0)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IFERROR(__xludf.DUMMYFUNCTION("IMPORTRANGE(""https://docs.google.com/spreadsheets/d/1C3CXT74ZlgGe6_JY_1olB1XN4rF0dxEuIIF-xsYjHgg/edit?usp=sharing"",""พรบ!BL77"")"),0)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IFERROR(__xludf.DUMMYFUNCTION("IMPORTRANGE(""https://docs.google.com/spreadsheets/d/1C3CXT74ZlgGe6_JY_1olB1XN4rF0dxEuIIF-xsYjHgg/edit?usp=sharing"",""พรบ!BM77"")"),0)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IFERROR(__xludf.DUMMYFUNCTION("IMPORTRANGE(""https://docs.google.com/spreadsheets/d/1C3CXT74ZlgGe6_JY_1olB1XN4rF0dxEuIIF-xsYjHgg/edit?usp=sharing"",""พรบ!BP77"")"),0)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IFERROR(__xludf.DUMMYFUNCTION("IMPORTRANGE(""https://docs.google.com/spreadsheets/d/1C3CXT74ZlgGe6_JY_1olB1XN4rF0dxEuIIF-xsYjHgg/edit?usp=sharing"",""พรบ!BQ77"")"),0)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IFERROR(__xludf.DUMMYFUNCTION("IMPORTRANGE(""https://docs.google.com/spreadsheets/d/1C3CXT74ZlgGe6_JY_1olB1XN4rF0dxEuIIF-xsYjHgg/edit?usp=sharing"",""พรบ!BR77"")"),0)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IFERROR(__xludf.DUMMYFUNCTION("IMPORTRANGE(""https://docs.google.com/spreadsheets/d/1C3CXT74ZlgGe6_JY_1olB1XN4rF0dxEuIIF-xsYjHgg/edit?usp=sharing"",""พรบ!BU77"")"),0)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IFERROR(__xludf.DUMMYFUNCTION("IMPORTRANGE(""https://docs.google.com/spreadsheets/d/1C3CXT74ZlgGe6_JY_1olB1XN4rF0dxEuIIF-xsYjHgg/edit?usp=sharing"",""พรบ!BV77"")"),0)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537770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537770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IFERROR(__xludf.DUMMYFUNCTION("IMPORTRANGE(""https://docs.google.com/spreadsheets/d/1C3CXT74ZlgGe6_JY_1olB1XN4rF0dxEuIIF-xsYjHgg/edit?usp=sharing"",""พรบ!BX77"")"),493800)</f>
        <v>493800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IFERROR(__xludf.DUMMYFUNCTION("IMPORTRANGE(""https://docs.google.com/spreadsheets/d/1C3CXT74ZlgGe6_JY_1olB1XN4rF0dxEuIIF-xsYjHgg/edit?usp=sharing"",""พรบ!BY77"")"),43970)</f>
        <v>43970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IFERROR(__xludf.DUMMYFUNCTION("IMPORTRANGE(""https://docs.google.com/spreadsheets/d/1AGHcLOeeYFL3K4b9R1dSzyJy00PE_ra89DNTVfnxSWM/edit?usp=sharing"",""รวมที่ทำกิน!J66"")"),0)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IFERROR(__xludf.DUMMYFUNCTION("IMPORTRANGE(""https://docs.google.com/spreadsheets/d/1C3CXT74ZlgGe6_JY_1olB1XN4rF0dxEuIIF-xsYjHgg/edit?usp=sharing"",""พรบ!BZ77"")"),0)</f>
        <v>0</v>
      </c>
      <c r="J235" s="66">
        <f ca="1">IFERROR(__xludf.DUMMYFUNCTION("IMPORTRANGE(""https://docs.google.com/spreadsheets/d/1AGHcLOeeYFL3K4b9R1dSzyJy00PE_ra89DNTVfnxSWM/edit?usp=sharing"",""รวมที่ทำกิน!L66"")"),0)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IFERROR(__xludf.DUMMYFUNCTION("IMPORTRANGE(""https://docs.google.com/spreadsheets/d/1C3CXT74ZlgGe6_JY_1olB1XN4rF0dxEuIIF-xsYjHgg/edit?usp=sharing"",""พรบ!CA77"")"),0)</f>
        <v>0</v>
      </c>
      <c r="J236" s="66">
        <f ca="1">IFERROR(__xludf.DUMMYFUNCTION("IMPORTRANGE(""https://docs.google.com/spreadsheets/d/1AGHcLOeeYFL3K4b9R1dSzyJy00PE_ra89DNTVfnxSWM/edit?usp=sharing"",""รวมที่ทำกิน!O66"")"),0)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IFERROR(__xludf.DUMMYFUNCTION("IMPORTRANGE(""https://docs.google.com/spreadsheets/d/1AGHcLOeeYFL3K4b9R1dSzyJy00PE_ra89DNTVfnxSWM/edit?usp=sharing"",""รวมที่ทำกิน!Q66"")"),0)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IFERROR(__xludf.DUMMYFUNCTION("IMPORTRANGE(""https://docs.google.com/spreadsheets/d/1C3CXT74ZlgGe6_JY_1olB1XN4rF0dxEuIIF-xsYjHgg/edit?usp=sharing"",""พรบ!CB77"")"),0)</f>
        <v>0</v>
      </c>
      <c r="J238" s="66">
        <f ca="1">IFERROR(__xludf.DUMMYFUNCTION("IMPORTRANGE(""https://docs.google.com/spreadsheets/d/1AGHcLOeeYFL3K4b9R1dSzyJy00PE_ra89DNTVfnxSWM/edit?usp=sharing"",""รวมที่ทำกิน!S66"")"),0)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IFERROR(__xludf.DUMMYFUNCTION("IMPORTRANGE(""https://docs.google.com/spreadsheets/d/1AGHcLOeeYFL3K4b9R1dSzyJy00PE_ra89DNTVfnxSWM/edit?usp=sharing"",""รวมที่ทำกิน!U66"")"),0)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IFERROR(__xludf.DUMMYFUNCTION("IMPORTRANGE(""https://docs.google.com/spreadsheets/d/1C3CXT74ZlgGe6_JY_1olB1XN4rF0dxEuIIF-xsYjHgg/edit?usp=sharing"",""พรบ!CC77"")"),0)</f>
        <v>0</v>
      </c>
      <c r="J240" s="66">
        <f ca="1">IFERROR(__xludf.DUMMYFUNCTION("IMPORTRANGE(""https://docs.google.com/spreadsheets/d/1AGHcLOeeYFL3K4b9R1dSzyJy00PE_ra89DNTVfnxSWM/edit?usp=sharing"",""รวมที่ทำกิน!W66"")"),0)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IFERROR(__xludf.DUMMYFUNCTION("IMPORTRANGE(""https://docs.google.com/spreadsheets/d/1AGHcLOeeYFL3K4b9R1dSzyJy00PE_ra89DNTVfnxSWM/edit?usp=sharing"",""รวมที่ทำกิน!Y66"")"),0)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319230</v>
      </c>
      <c r="M242" s="213">
        <f t="shared" si="53"/>
        <v>25735</v>
      </c>
      <c r="N242" s="213">
        <f ca="1">+IF(L242&gt;0,M242*100/L242,0)</f>
        <v>8.0615856905679291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IFERROR(__xludf.DUMMYFUNCTION("IMPORTRANGE(""https://docs.google.com/spreadsheets/d/1C3CXT74ZlgGe6_JY_1olB1XN4rF0dxEuIIF-xsYjHgg/edit?usp=sharing"",""งบกองทุน!d77"")"),0)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IFERROR(__xludf.DUMMYFUNCTION("IMPORTRANGE(""https://docs.google.com/spreadsheets/d/1C3CXT74ZlgGe6_JY_1olB1XN4rF0dxEuIIF-xsYjHgg/edit?usp=sharing"",""งบกองทุน!e77"")"),0)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IFERROR(__xludf.DUMMYFUNCTION("IMPORTRANGE(""https://docs.google.com/spreadsheets/d/1C3CXT74ZlgGe6_JY_1olB1XN4rF0dxEuIIF-xsYjHgg/edit?usp=sharing"",""งบกองทุน!f77"")"),0)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IFERROR(__xludf.DUMMYFUNCTION("IMPORTRANGE(""https://docs.google.com/spreadsheets/d/1C3CXT74ZlgGe6_JY_1olB1XN4rF0dxEuIIF-xsYjHgg/edit?usp=sharing"",""งบกองทุน!H77"")"),0)</f>
        <v>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IFERROR(__xludf.DUMMYFUNCTION("IMPORTRANGE(""https://docs.google.com/spreadsheets/d/1C3CXT74ZlgGe6_JY_1olB1XN4rF0dxEuIIF-xsYjHgg/edit?usp=sharing"",""งบกองทุน!i77"")"),0)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IFERROR(__xludf.DUMMYFUNCTION("IMPORTRANGE(""https://docs.google.com/spreadsheets/d/1C3CXT74ZlgGe6_JY_1olB1XN4rF0dxEuIIF-xsYjHgg/edit?usp=sharing"",""งบกองทุน!k77"")"),0)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IFERROR(__xludf.DUMMYFUNCTION("IMPORTRANGE(""https://docs.google.com/spreadsheets/d/1C3CXT74ZlgGe6_JY_1olB1XN4rF0dxEuIIF-xsYjHgg/edit?usp=sharing"",""งบกองทุน!m77"")"),0)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IFERROR(__xludf.DUMMYFUNCTION("IMPORTRANGE(""https://docs.google.com/spreadsheets/d/1C3CXT74ZlgGe6_JY_1olB1XN4rF0dxEuIIF-xsYjHgg/edit?usp=sharing"",""งบกองทุน!o77"")"),0)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IFERROR(__xludf.DUMMYFUNCTION("IMPORTRANGE(""https://docs.google.com/spreadsheets/d/1C3CXT74ZlgGe6_JY_1olB1XN4rF0dxEuIIF-xsYjHgg/edit?usp=sharing"",""งบกองทุน!p77"")"),0)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IFERROR(__xludf.DUMMYFUNCTION("IMPORTRANGE(""https://docs.google.com/spreadsheets/d/1C3CXT74ZlgGe6_JY_1olB1XN4rF0dxEuIIF-xsYjHgg/edit?usp=sharing"",""งบกองทุน!r77"")"),0)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IFERROR(__xludf.DUMMYFUNCTION("IMPORTRANGE(""https://docs.google.com/spreadsheets/d/1C3CXT74ZlgGe6_JY_1olB1XN4rF0dxEuIIF-xsYjHgg/edit?usp=sharing"",""งบกองทุน!s77"")"),0)</f>
        <v>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2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2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2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2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66"/>
      <c r="K285" s="232"/>
      <c r="L285" s="52"/>
      <c r="M285" s="52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6">
        <v>0</v>
      </c>
      <c r="K286" s="232"/>
      <c r="L286" s="52"/>
      <c r="M286" s="52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6">
        <v>0</v>
      </c>
      <c r="K287" s="232"/>
      <c r="L287" s="52" t="s">
        <v>21</v>
      </c>
      <c r="M287" s="52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6">
        <v>0</v>
      </c>
      <c r="K288" s="232"/>
      <c r="L288" s="52"/>
      <c r="M288" s="52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6">
        <v>0</v>
      </c>
      <c r="K289" s="232"/>
      <c r="L289" s="52"/>
      <c r="M289" s="52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232"/>
      <c r="L290" s="52"/>
      <c r="M290" s="52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IFERROR(__xludf.DUMMYFUNCTION("IMPORTRANGE(""https://docs.google.com/spreadsheets/d/1C3CXT74ZlgGe6_JY_1olB1XN4rF0dxEuIIF-xsYjHgg/edit?usp=sharing"",""งบกองทุน!v77"")"),0)</f>
        <v>0</v>
      </c>
      <c r="J291" s="66">
        <v>0</v>
      </c>
      <c r="K291" s="232">
        <f t="shared" ref="K291:K293" ca="1" si="67">IF(I291&gt;0,J291*100/I291,0)</f>
        <v>0</v>
      </c>
      <c r="L291" s="52"/>
      <c r="M291" s="52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IFERROR(__xludf.DUMMYFUNCTION("IMPORTRANGE(""https://docs.google.com/spreadsheets/d/1C3CXT74ZlgGe6_JY_1olB1XN4rF0dxEuIIF-xsYjHgg/edit?usp=sharing"",""งบกองทุน!w77"")"),0)</f>
        <v>0</v>
      </c>
      <c r="J292" s="66">
        <v>0</v>
      </c>
      <c r="K292" s="232">
        <f t="shared" ca="1" si="67"/>
        <v>0</v>
      </c>
      <c r="L292" s="52"/>
      <c r="M292" s="52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IFERROR(__xludf.DUMMYFUNCTION("IMPORTRANGE(""https://docs.google.com/spreadsheets/d/1C3CXT74ZlgGe6_JY_1olB1XN4rF0dxEuIIF-xsYjHgg/edit?usp=sharing"",""งบกองทุน!x77"")"),0)</f>
        <v>0</v>
      </c>
      <c r="J293" s="66">
        <v>0</v>
      </c>
      <c r="K293" s="232">
        <f t="shared" ca="1" si="67"/>
        <v>0</v>
      </c>
      <c r="L293" s="52"/>
      <c r="M293" s="52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6">
        <v>0</v>
      </c>
      <c r="K294" s="232"/>
      <c r="L294" s="52"/>
      <c r="M294" s="52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356">
        <v>0</v>
      </c>
      <c r="K295" s="232"/>
      <c r="L295" s="52"/>
      <c r="M295" s="52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87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98950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29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98950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IFERROR(__xludf.DUMMYFUNCTION("IMPORTRANGE(""https://docs.google.com/spreadsheets/d/1C3CXT74ZlgGe6_JY_1olB1XN4rF0dxEuIIF-xsYjHgg/edit?usp=sharing"",""งบกองทุน!z77"")"),0)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IFERROR(__xludf.DUMMYFUNCTION("IMPORTRANGE(""https://docs.google.com/spreadsheets/d/1C3CXT74ZlgGe6_JY_1olB1XN4rF0dxEuIIF-xsYjHgg/edit?usp=sharing"",""งบกองทุน!aa77"")"),98950)</f>
        <v>98950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/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29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IFERROR(__xludf.DUMMYFUNCTION("IMPORTRANGE(""https://docs.google.com/spreadsheets/d/1C3CXT74ZlgGe6_JY_1olB1XN4rF0dxEuIIF-xsYjHgg/edit?usp=sharing"",""งบกองทุน!ae77"")"),0)</f>
        <v>0</v>
      </c>
      <c r="J312" s="364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IFERROR(__xludf.DUMMYFUNCTION("IMPORTRANGE(""https://docs.google.com/spreadsheets/d/1C3CXT74ZlgGe6_JY_1olB1XN4rF0dxEuIIF-xsYjHgg/edit?usp=sharing"",""งบกองทุน!ad77"")"),0)</f>
        <v>0</v>
      </c>
      <c r="J313" s="364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IFERROR(__xludf.DUMMYFUNCTION("IMPORTRANGE(""https://docs.google.com/spreadsheets/d/1C3CXT74ZlgGe6_JY_1olB1XN4rF0dxEuIIF-xsYjHgg/edit?usp=sharing"",""งบกองทุน!af77"")"),0)</f>
        <v>0</v>
      </c>
      <c r="J314" s="365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IFERROR(__xludf.DUMMYFUNCTION("IMPORTRANGE(""https://docs.google.com/spreadsheets/d/1C3CXT74ZlgGe6_JY_1olB1XN4rF0dxEuIIF-xsYjHgg/edit?usp=sharing"",""งบกองทุน!ag77"")"),0)</f>
        <v>0</v>
      </c>
      <c r="J315" s="365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IFERROR(__xludf.DUMMYFUNCTION("IMPORTRANGE(""https://docs.google.com/spreadsheets/d/1C3CXT74ZlgGe6_JY_1olB1XN4rF0dxEuIIF-xsYjHgg/edit?usp=sharing"",""งบกองทุน!ai77"")"),19)</f>
        <v>19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IFERROR(__xludf.DUMMYFUNCTION("IMPORTRANGE(""https://docs.google.com/spreadsheets/d/1C3CXT74ZlgGe6_JY_1olB1XN4rF0dxEuIIF-xsYjHgg/edit?usp=sharing"",""งบกองทุน!ah77"")"),57)</f>
        <v>57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IFERROR(__xludf.DUMMYFUNCTION("IMPORTRANGE(""https://docs.google.com/spreadsheets/d/1C3CXT74ZlgGe6_JY_1olB1XN4rF0dxEuIIF-xsYjHgg/edit?usp=sharing"",""งบกองทุน!aj77"")"),19)</f>
        <v>19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IFERROR(__xludf.DUMMYFUNCTION("IMPORTRANGE(""https://docs.google.com/spreadsheets/d/1C3CXT74ZlgGe6_JY_1olB1XN4rF0dxEuIIF-xsYjHgg/edit?usp=sharing"",""งบกองทุน!ak77"")"),19)</f>
        <v>19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IFERROR(__xludf.DUMMYFUNCTION("IMPORTRANGE(""https://docs.google.com/spreadsheets/d/1C3CXT74ZlgGe6_JY_1olB1XN4rF0dxEuIIF-xsYjHgg/edit?usp=sharing"",""งบกองทุน!al77"")"),19)</f>
        <v>19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IFERROR(__xludf.DUMMYFUNCTION("IMPORTRANGE(""https://docs.google.com/spreadsheets/d/1C3CXT74ZlgGe6_JY_1olB1XN4rF0dxEuIIF-xsYjHgg/edit?usp=sharing"",""งบกองทุน!an77"")"),10)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IFERROR(__xludf.DUMMYFUNCTION("IMPORTRANGE(""https://docs.google.com/spreadsheets/d/1C3CXT74ZlgGe6_JY_1olB1XN4rF0dxEuIIF-xsYjHgg/edit?usp=sharing"",""งบกองทุน!am77"")"),30)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IFERROR(__xludf.DUMMYFUNCTION("IMPORTRANGE(""https://docs.google.com/spreadsheets/d/1C3CXT74ZlgGe6_JY_1olB1XN4rF0dxEuIIF-xsYjHgg/edit?usp=sharing"",""งบกองทุน!ao77"")"),10)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IFERROR(__xludf.DUMMYFUNCTION("IMPORTRANGE(""https://docs.google.com/spreadsheets/d/1C3CXT74ZlgGe6_JY_1olB1XN4rF0dxEuIIF-xsYjHgg/edit?usp=sharing"",""งบกองทุน!ap77"")"),10)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19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IFERROR(__xludf.DUMMYFUNCTION("IMPORTRANGE(""https://docs.google.com/spreadsheets/d/1C3CXT74ZlgGe6_JY_1olB1XN4rF0dxEuIIF-xsYjHgg/edit?usp=sharing"",""งบกองทุน!ar77"")"),0)</f>
        <v>0</v>
      </c>
      <c r="J326" s="365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IFERROR(__xludf.DUMMYFUNCTION("IMPORTRANGE(""https://docs.google.com/spreadsheets/d/1C3CXT74ZlgGe6_JY_1olB1XN4rF0dxEuIIF-xsYjHgg/edit?usp=sharing"",""งบกองทุน!as77"")"),19)</f>
        <v>19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71000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IFERROR(__xludf.DUMMYFUNCTION("IMPORTRANGE(""https://docs.google.com/spreadsheets/d/1C3CXT74ZlgGe6_JY_1olB1XN4rF0dxEuIIF-xsYjHgg/edit?usp=sharing"",""งบกองทุน!au77"")"),0)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IFERROR(__xludf.DUMMYFUNCTION("IMPORTRANGE(""https://docs.google.com/spreadsheets/d/1C3CXT74ZlgGe6_JY_1olB1XN4rF0dxEuIIF-xsYjHgg/edit?usp=sharing"",""งบกองทุน!av77"")"),71000)</f>
        <v>71000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IFERROR(__xludf.DUMMYFUNCTION("IMPORTRANGE(""https://docs.google.com/spreadsheets/d/1C3CXT74ZlgGe6_JY_1olB1XN4rF0dxEuIIF-xsYjHgg/edit?usp=sharing"",""งบกองทุน!ay77"")"),10)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IFERROR(__xludf.DUMMYFUNCTION("IMPORTRANGE(""https://docs.google.com/spreadsheets/d/1C3CXT74ZlgGe6_JY_1olB1XN4rF0dxEuIIF-xsYjHgg/edit?usp=sharing"",""งบกองทุน!az77"")"),0)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IFERROR(__xludf.DUMMYFUNCTION("IMPORTRANGE(""https://docs.google.com/spreadsheets/d/1C3CXT74ZlgGe6_JY_1olB1XN4rF0dxEuIIF-xsYjHgg/edit?usp=sharing"",""งบกองทุน!Ba77"")"),0)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IFERROR(__xludf.DUMMYFUNCTION("IMPORTRANGE(""https://docs.google.com/spreadsheets/d/1C3CXT74ZlgGe6_JY_1olB1XN4rF0dxEuIIF-xsYjHgg/edit?usp=sharing"",""งบกองทุน!Bc77"")"),0)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IFERROR(__xludf.DUMMYFUNCTION("IMPORTRANGE(""https://docs.google.com/spreadsheets/d/1C3CXT74ZlgGe6_JY_1olB1XN4rF0dxEuIIF-xsYjHgg/edit?usp=sharing"",""งบกองทุน!Bd77"")"),0)</f>
        <v>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2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2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IFERROR(__xludf.DUMMYFUNCTION("IMPORTRANGE(""https://docs.google.com/spreadsheets/d/1C3CXT74ZlgGe6_JY_1olB1XN4rF0dxEuIIF-xsYjHgg/edit?usp=sharing"",""งบกองทุน!BE77"")"),0)</f>
        <v>0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4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IFERROR(__xludf.DUMMYFUNCTION("IMPORTRANGE(""https://docs.google.com/spreadsheets/d/1C3CXT74ZlgGe6_JY_1olB1XN4rF0dxEuIIF-xsYjHgg/edit?usp=sharing"",""งบกองทุน!BE77"")"),0)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52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IFERROR(__xludf.DUMMYFUNCTION("IMPORTRANGE(""https://docs.google.com/spreadsheets/d/1C3CXT74ZlgGe6_JY_1olB1XN4rF0dxEuIIF-xsYjHgg/edit?usp=sharing"",""งบกองทุน!Bf77"")"),0)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6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6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6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6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6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6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78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ca="1">I361</f>
        <v>0</v>
      </c>
      <c r="J369" s="78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6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6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6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6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6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6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78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78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6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6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6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6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78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78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6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6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6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6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6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6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IFERROR(__xludf.DUMMYFUNCTION("IMPORTRANGE(""https://docs.google.com/spreadsheets/d/1C3CXT74ZlgGe6_JY_1olB1XN4rF0dxEuIIF-xsYjHgg/edit?usp=sharing"",""งบกองทุน!cd77"")"),0)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IFERROR(__xludf.DUMMYFUNCTION("IMPORTRANGE(""https://docs.google.com/spreadsheets/d/1C3CXT74ZlgGe6_JY_1olB1XN4rF0dxEuIIF-xsYjHgg/edit?usp=sharing"",""งบกองทุน!cd77"")"),0)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IFERROR(__xludf.DUMMYFUNCTION("IMPORTRANGE(""https://docs.google.com/spreadsheets/d/1C3CXT74ZlgGe6_JY_1olB1XN4rF0dxEuIIF-xsYjHgg/edit?usp=sharing"",""งบกองทุน!cc77"")"),0)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6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6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6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6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6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6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66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66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6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6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6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6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6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6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IFERROR(__xludf.DUMMYFUNCTION("IMPORTRANGE(""https://docs.google.com/spreadsheets/d/1C3CXT74ZlgGe6_JY_1olB1XN4rF0dxEuIIF-xsYjHgg/edit?usp=sharing"",""งบกองทุน!cz77"")"),0)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IFERROR(__xludf.DUMMYFUNCTION("IMPORTRANGE(""https://docs.google.com/spreadsheets/d/1C3CXT74ZlgGe6_JY_1olB1XN4rF0dxEuIIF-xsYjHgg/edit?usp=sharing"",""งบกองทุน!cz77"")"),0)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IFERROR(__xludf.DUMMYFUNCTION("IMPORTRANGE(""https://docs.google.com/spreadsheets/d/1C3CXT74ZlgGe6_JY_1olB1XN4rF0dxEuIIF-xsYjHgg/edit?usp=sharing"",""งบกองทุน!cy77"")"),0)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IFERROR(__xludf.DUMMYFUNCTION("IMPORTRANGE(""https://docs.google.com/spreadsheets/d/1C3CXT74ZlgGe6_JY_1olB1XN4rF0dxEuIIF-xsYjHgg/edit?usp=sharing"",""งบกองทุน!db77"")"),0)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IFERROR(__xludf.DUMMYFUNCTION("IMPORTRANGE(""https://docs.google.com/spreadsheets/d/1C3CXT74ZlgGe6_JY_1olB1XN4rF0dxEuIIF-xsYjHgg/edit?usp=sharing"",""งบกองทุน!da77"")"),0)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IFERROR(__xludf.DUMMYFUNCTION("IMPORTRANGE(""https://docs.google.com/spreadsheets/d/1C3CXT74ZlgGe6_JY_1olB1XN4rF0dxEuIIF-xsYjHgg/edit?usp=sharing"",""งบกองทุน!dd77"")"),0)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IFERROR(__xludf.DUMMYFUNCTION("IMPORTRANGE(""https://docs.google.com/spreadsheets/d/1C3CXT74ZlgGe6_JY_1olB1XN4rF0dxEuIIF-xsYjHgg/edit?usp=sharing"",""งบกองทุน!dc77"")"),0)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IFERROR(__xludf.DUMMYFUNCTION("IMPORTRANGE(""https://docs.google.com/spreadsheets/d/1C3CXT74ZlgGe6_JY_1olB1XN4rF0dxEuIIF-xsYjHgg/edit?usp=sharing"",""งบกองทุน!df77"")"),0)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IFERROR(__xludf.DUMMYFUNCTION("IMPORTRANGE(""https://docs.google.com/spreadsheets/d/1C3CXT74ZlgGe6_JY_1olB1XN4rF0dxEuIIF-xsYjHgg/edit?usp=sharing"",""งบกองทุน!de77"")"),0)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10</v>
      </c>
      <c r="J426" s="257">
        <f t="shared" si="91"/>
        <v>10</v>
      </c>
      <c r="K426" s="258">
        <f ca="1">IF(I426&gt;0,J426*100/I426,0)</f>
        <v>100</v>
      </c>
      <c r="L426" s="259">
        <f t="shared" ref="L426:M426" ca="1" si="92">SUM(L427:L428)</f>
        <v>24140</v>
      </c>
      <c r="M426" s="259">
        <f t="shared" si="92"/>
        <v>12935</v>
      </c>
      <c r="N426" s="259">
        <f t="shared" ref="N426:N430" ca="1" si="93">+IF(L426&gt;0,M426*100/L426,0)</f>
        <v>53.583264291632148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24140</v>
      </c>
      <c r="M428" s="52">
        <f t="shared" si="94"/>
        <v>12935</v>
      </c>
      <c r="N428" s="52">
        <f t="shared" ca="1" si="93"/>
        <v>53.583264291632148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IFERROR(__xludf.DUMMYFUNCTION("IMPORTRANGE(""https://docs.google.com/spreadsheets/d/1C3CXT74ZlgGe6_JY_1olB1XN4rF0dxEuIIF-xsYjHgg/edit?usp=sharing"",""งบกองทุน!dn77"")"),0)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IFERROR(__xludf.DUMMYFUNCTION("IMPORTRANGE(""https://docs.google.com/spreadsheets/d/1C3CXT74ZlgGe6_JY_1olB1XN4rF0dxEuIIF-xsYjHgg/edit?usp=sharing"",""งบกองทุน!do77"")"),24140)</f>
        <v>24140</v>
      </c>
      <c r="M430" s="52">
        <f>SUM(M431:M434)</f>
        <v>12935</v>
      </c>
      <c r="N430" s="52">
        <f t="shared" ca="1" si="93"/>
        <v>53.583264291632148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6627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6308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IFERROR(__xludf.DUMMYFUNCTION("IMPORTRANGE(""https://docs.google.com/spreadsheets/d/1C3CXT74ZlgGe6_JY_1olB1XN4rF0dxEuIIF-xsYjHgg/edit?usp=sharing"",""งบกองทุน!dq77"")"),10)</f>
        <v>10</v>
      </c>
      <c r="J440" s="67">
        <v>10</v>
      </c>
      <c r="K440" s="48">
        <f t="shared" ref="K440:K441" ca="1" si="95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IFERROR(__xludf.DUMMYFUNCTION("IMPORTRANGE(""https://docs.google.com/spreadsheets/d/1C3CXT74ZlgGe6_JY_1olB1XN4rF0dxEuIIF-xsYjHgg/edit?usp=sharing"",""งบกองทุน!dr77"")"),10)</f>
        <v>10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/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IFERROR(__xludf.DUMMYFUNCTION("IMPORTRANGE(""https://docs.google.com/spreadsheets/d/1C3CXT74ZlgGe6_JY_1olB1XN4rF0dxEuIIF-xsYjHgg/edit?usp=sharing"",""งบกองทุน!dt77"")"),0)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IFERROR(__xludf.DUMMYFUNCTION("IMPORTRANGE(""https://docs.google.com/spreadsheets/d/1C3CXT74ZlgGe6_JY_1olB1XN4rF0dxEuIIF-xsYjHgg/edit?usp=sharing"",""งบกองทุน!du77"")"),0)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IFERROR(__xludf.DUMMYFUNCTION("IMPORTRANGE(""https://docs.google.com/spreadsheets/d/1C3CXT74ZlgGe6_JY_1olB1XN4rF0dxEuIIF-xsYjHgg/edit?usp=sharing"",""งบกองทุน!dw77"")"),0)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IFERROR(__xludf.DUMMYFUNCTION("IMPORTRANGE(""https://docs.google.com/spreadsheets/d/1C3CXT74ZlgGe6_JY_1olB1XN4rF0dxEuIIF-xsYjHgg/edit?usp=sharing"",""งบกองทุน!dx77"")"),0)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IFERROR(__xludf.DUMMYFUNCTION("IMPORTRANGE(""https://docs.google.com/spreadsheets/d/1C3CXT74ZlgGe6_JY_1olB1XN4rF0dxEuIIF-xsYjHgg/edit?usp=sharing"",""งบกองทุน!dy77"")"),0)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IFERROR(__xludf.DUMMYFUNCTION("IMPORTRANGE(""https://docs.google.com/spreadsheets/d/1C3CXT74ZlgGe6_JY_1olB1XN4rF0dxEuIIF-xsYjHgg/edit?usp=sharing"",""งบกองทุน!dz77"")"),0)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20</v>
      </c>
      <c r="J457" s="226">
        <f>+J466</f>
        <v>5</v>
      </c>
      <c r="K457" s="227">
        <f t="shared" ca="1" si="100"/>
        <v>25</v>
      </c>
      <c r="L457" s="228">
        <f t="shared" ref="L457:M457" ca="1" si="101">SUM(L458:L459)</f>
        <v>117840</v>
      </c>
      <c r="M457" s="228">
        <f t="shared" si="101"/>
        <v>11000</v>
      </c>
      <c r="N457" s="228">
        <f t="shared" ref="N457:N461" ca="1" si="102">+IF(L457&gt;0,M457*100/L457,0)</f>
        <v>9.3346911065852005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117840</v>
      </c>
      <c r="M459" s="52">
        <f t="shared" si="103"/>
        <v>11000</v>
      </c>
      <c r="N459" s="52">
        <f t="shared" ca="1" si="102"/>
        <v>9.3346911065852005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IFERROR(__xludf.DUMMYFUNCTION("IMPORTRANGE(""https://docs.google.com/spreadsheets/d/1C3CXT74ZlgGe6_JY_1olB1XN4rF0dxEuIIF-xsYjHgg/edit?usp=sharing"",""งบกองทุน!Eb77"")"),0)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IFERROR(__xludf.DUMMYFUNCTION("IMPORTRANGE(""https://docs.google.com/spreadsheets/d/1C3CXT74ZlgGe6_JY_1olB1XN4rF0dxEuIIF-xsYjHgg/edit?usp=sharing"",""งบกองทุน!Ec77"")"),117840)</f>
        <v>117840</v>
      </c>
      <c r="M461" s="52">
        <f>SUM(M462:M465)</f>
        <v>11000</v>
      </c>
      <c r="N461" s="52">
        <f t="shared" ca="1" si="102"/>
        <v>9.3346911065852005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11000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IFERROR(__xludf.DUMMYFUNCTION("IMPORTRANGE(""https://docs.google.com/spreadsheets/d/1C3CXT74ZlgGe6_JY_1olB1XN4rF0dxEuIIF-xsYjHgg/edit?usp=sharing"",""งบกองทุน!Ed77"")"),20)</f>
        <v>20</v>
      </c>
      <c r="J466" s="265">
        <f>+J469+J470+J471+J472</f>
        <v>5</v>
      </c>
      <c r="K466" s="79">
        <f ca="1">IF(I466&gt;0,J466*100/I466,0)</f>
        <v>25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5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IFERROR(__xludf.DUMMYFUNCTION("IMPORTRANGE(""https://docs.google.com/spreadsheets/d/1C3CXT74ZlgGe6_JY_1olB1XN4rF0dxEuIIF-xsYjHgg/edit?usp=sharing"",""งบกองทุน!Ek77"")"),0)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IFERROR(__xludf.DUMMYFUNCTION("IMPORTRANGE(""https://docs.google.com/spreadsheets/d/1C3CXT74ZlgGe6_JY_1olB1XN4rF0dxEuIIF-xsYjHgg/edit?usp=sharing"",""งบกองทุน!El77"")"),0)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IFERROR(__xludf.DUMMYFUNCTION("IMPORTRANGE(""https://docs.google.com/spreadsheets/d/1C3CXT74ZlgGe6_JY_1olB1XN4rF0dxEuIIF-xsYjHgg/edit?usp=sharing"",""งบกองทุน!Em77"")"),0)</f>
        <v>0</v>
      </c>
      <c r="J482" s="66">
        <f ca="1">IFERROR(__xludf.DUMMYFUNCTION("IMPORTRANGE(""https://docs.google.com/spreadsheets/d/1AGHcLOeeYFL3K4b9R1dSzyJy00PE_ra89DNTVfnxSWM/edit?usp=sharing"",""รวมที่ชุมชน!G66"")"),0)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IFERROR(__xludf.DUMMYFUNCTION("IMPORTRANGE(""https://docs.google.com/spreadsheets/d/1C3CXT74ZlgGe6_JY_1olB1XN4rF0dxEuIIF-xsYjHgg/edit?usp=sharing"",""งบกองทุน!En77"")"),0)</f>
        <v>0</v>
      </c>
      <c r="J483" s="66">
        <f ca="1">IFERROR(__xludf.DUMMYFUNCTION("IMPORTRANGE(""https://docs.google.com/spreadsheets/d/1AGHcLOeeYFL3K4b9R1dSzyJy00PE_ra89DNTVfnxSWM/edit?usp=sharing"",""รวมที่ชุมชน!H66"")"),0)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IFERROR(__xludf.DUMMYFUNCTION("IMPORTRANGE(""https://docs.google.com/spreadsheets/d/1C3CXT74ZlgGe6_JY_1olB1XN4rF0dxEuIIF-xsYjHgg/edit?usp=sharing"",""งบกองทุน!Eo77"")"),0)</f>
        <v>0</v>
      </c>
      <c r="J484" s="66">
        <f ca="1">IFERROR(__xludf.DUMMYFUNCTION("IMPORTRANGE(""https://docs.google.com/spreadsheets/d/1AGHcLOeeYFL3K4b9R1dSzyJy00PE_ra89DNTVfnxSWM/edit?usp=sharing"",""รวมที่ชุมชน!J66"")"),0)</f>
        <v>0</v>
      </c>
      <c r="K484" s="48">
        <f t="shared" ca="1" si="107"/>
        <v>0</v>
      </c>
      <c r="L484" s="60"/>
      <c r="M484" s="52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IFERROR(__xludf.DUMMYFUNCTION("IMPORTRANGE(""https://docs.google.com/spreadsheets/d/1C3CXT74ZlgGe6_JY_1olB1XN4rF0dxEuIIF-xsYjHgg/edit?usp=sharing"",""งบกองทุน!Ep77"")"),0)</f>
        <v>0</v>
      </c>
      <c r="J485" s="66">
        <f ca="1">IFERROR(__xludf.DUMMYFUNCTION("IMPORTRANGE(""https://docs.google.com/spreadsheets/d/1AGHcLOeeYFL3K4b9R1dSzyJy00PE_ra89DNTVfnxSWM/edit?usp=sharing"",""รวมที่ชุมชน!L66"")"),0)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IFERROR(__xludf.DUMMYFUNCTION("IMPORTRANGE(""https://docs.google.com/spreadsheets/d/1C3CXT74ZlgGe6_JY_1olB1XN4rF0dxEuIIF-xsYjHgg/edit?usp=sharing"",""งบกองทุน!Eq77"")"),0)</f>
        <v>0</v>
      </c>
      <c r="J486" s="66">
        <f ca="1">IFERROR(__xludf.DUMMYFUNCTION("IMPORTRANGE(""https://docs.google.com/spreadsheets/d/1AGHcLOeeYFL3K4b9R1dSzyJy00PE_ra89DNTVfnxSWM/edit?usp=sharing"",""รวมที่ชุมชน!S66"")"),0)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IFERROR(__xludf.DUMMYFUNCTION("IMPORTRANGE(""https://docs.google.com/spreadsheets/d/1C3CXT74ZlgGe6_JY_1olB1XN4rF0dxEuIIF-xsYjHgg/edit?usp=sharing"",""งบกองทุน!Er77"")"),0)</f>
        <v>0</v>
      </c>
      <c r="J487" s="66">
        <f ca="1">IFERROR(__xludf.DUMMYFUNCTION("IMPORTRANGE(""https://docs.google.com/spreadsheets/d/1AGHcLOeeYFL3K4b9R1dSzyJy00PE_ra89DNTVfnxSWM/edit?usp=sharing"",""รวมที่ชุมชน!U66"")"),0)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IFERROR(__xludf.DUMMYFUNCTION("IMPORTRANGE(""https://docs.google.com/spreadsheets/d/1C3CXT74ZlgGe6_JY_1olB1XN4rF0dxEuIIF-xsYjHgg/edit?usp=sharing"",""งบกองทุน!Es77"")"),0)</f>
        <v>0</v>
      </c>
      <c r="J488" s="66">
        <f ca="1">IFERROR(__xludf.DUMMYFUNCTION("IMPORTRANGE(""https://docs.google.com/spreadsheets/d/1AGHcLOeeYFL3K4b9R1dSzyJy00PE_ra89DNTVfnxSWM/edit?usp=sharing"",""รวมที่ชุมชน!V66"")"),0)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IFERROR(__xludf.DUMMYFUNCTION("IMPORTRANGE(""https://docs.google.com/spreadsheets/d/1C3CXT74ZlgGe6_JY_1olB1XN4rF0dxEuIIF-xsYjHgg/edit?usp=sharing"",""งบกองทุน!Et77"")"),0)</f>
        <v>0</v>
      </c>
      <c r="J489" s="111">
        <f ca="1">IFERROR(__xludf.DUMMYFUNCTION("IMPORTRANGE(""https://docs.google.com/spreadsheets/d/1AGHcLOeeYFL3K4b9R1dSzyJy00PE_ra89DNTVfnxSWM/edit?usp=sharing"",""รวมที่ชุมชน!X66"")"),0)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100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7300</v>
      </c>
      <c r="M490" s="259">
        <f>SUM(M491:M492)</f>
        <v>1800</v>
      </c>
      <c r="N490" s="259">
        <f t="shared" ref="N490:N494" ca="1" si="109">+IF(L490&gt;0,M490*100/L490,0)</f>
        <v>24.657534246575342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7300</v>
      </c>
      <c r="M492" s="52">
        <f t="shared" si="110"/>
        <v>1800</v>
      </c>
      <c r="N492" s="52">
        <f t="shared" ca="1" si="109"/>
        <v>24.657534246575342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IFERROR(__xludf.DUMMYFUNCTION("IMPORTRANGE(""https://docs.google.com/spreadsheets/d/1C3CXT74ZlgGe6_JY_1olB1XN4rF0dxEuIIF-xsYjHgg/edit?usp=sharing"",""งบกองทุน!Ev77"")"),0)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IFERROR(__xludf.DUMMYFUNCTION("IMPORTRANGE(""https://docs.google.com/spreadsheets/d/1C3CXT74ZlgGe6_JY_1olB1XN4rF0dxEuIIF-xsYjHgg/edit?usp=sharing"",""งบกองทุน!Ew77"")"),7300)</f>
        <v>7300</v>
      </c>
      <c r="M494" s="52">
        <f>SUM(M495:M498)</f>
        <v>1800</v>
      </c>
      <c r="N494" s="52">
        <f t="shared" ca="1" si="109"/>
        <v>24.657534246575342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1800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IFERROR(__xludf.DUMMYFUNCTION("IMPORTRANGE(""https://docs.google.com/spreadsheets/d/1C3CXT74ZlgGe6_JY_1olB1XN4rF0dxEuIIF-xsYjHgg/edit?usp=sharing"",""งบกองทุน!EZ77"")"),100)</f>
        <v>100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132.91999999999999</v>
      </c>
      <c r="K505" s="48">
        <f t="shared" ca="1" si="111"/>
        <v>132.91999999999999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123.04</v>
      </c>
      <c r="K506" s="48">
        <f t="shared" ca="1" si="111"/>
        <v>123.04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IFERROR(__xludf.DUMMYFUNCTION("IMPORTRANGE(""https://docs.google.com/spreadsheets/d/1C3CXT74ZlgGe6_JY_1olB1XN4rF0dxEuIIF-xsYjHgg/edit?usp=sharing"",""งบกองทุน!ff77"")"),925)</f>
        <v>925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IFERROR(__xludf.DUMMYFUNCTION("IMPORTRANGE(""https://docs.google.com/spreadsheets/d/1muirlRDkqiswvy_NRZ3Yh955hx-PF6_HhssUYiSJj8o/edit?usp=sharing"",""กองทุน!D77"")"),520000)</f>
        <v>520000</v>
      </c>
      <c r="J521" s="199">
        <f ca="1">IFERROR(__xludf.DUMMYFUNCTION("IMPORTRANGE(""https://docs.google.com/spreadsheets/d/1muirlRDkqiswvy_NRZ3Yh955hx-PF6_HhssUYiSJj8o/edit?usp=sharing"",""กองทุน!F77"")"),0)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IFERROR(__xludf.DUMMYFUNCTION("IMPORTRANGE(""https://docs.google.com/spreadsheets/d/1muirlRDkqiswvy_NRZ3Yh955hx-PF6_HhssUYiSJj8o/edit?usp=sharing"",""กองทุน!C77"")"),18)</f>
        <v>18</v>
      </c>
      <c r="J522" s="199">
        <f ca="1">IFERROR(__xludf.DUMMYFUNCTION("IMPORTRANGE(""https://docs.google.com/spreadsheets/d/1muirlRDkqiswvy_NRZ3Yh955hx-PF6_HhssUYiSJj8o/edit?usp=sharing"",""กองทุน!E77"")"),0)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IFERROR(__xludf.DUMMYFUNCTION("IMPORTRANGE(""https://docs.google.com/spreadsheets/d/1muirlRDkqiswvy_NRZ3Yh955hx-PF6_HhssUYiSJj8o/edit?usp=sharing"",""กองทุน!I77"")"),0)</f>
        <v>0</v>
      </c>
      <c r="J523" s="199">
        <f ca="1">IFERROR(__xludf.DUMMYFUNCTION("IMPORTRANGE(""https://docs.google.com/spreadsheets/d/1muirlRDkqiswvy_NRZ3Yh955hx-PF6_HhssUYiSJj8o/edit?usp=sharing"",""กองทุน!K77"")"),0)</f>
        <v>0</v>
      </c>
      <c r="K523" s="200">
        <f t="shared" ca="1" si="116"/>
        <v>0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IFERROR(__xludf.DUMMYFUNCTION("IMPORTRANGE(""https://docs.google.com/spreadsheets/d/1muirlRDkqiswvy_NRZ3Yh955hx-PF6_HhssUYiSJj8o/edit?usp=sharing"",""กองทุน!H77"")"),0)</f>
        <v>0</v>
      </c>
      <c r="J524" s="199">
        <f ca="1">IFERROR(__xludf.DUMMYFUNCTION("IMPORTRANGE(""https://docs.google.com/spreadsheets/d/1muirlRDkqiswvy_NRZ3Yh955hx-PF6_HhssUYiSJj8o/edit?usp=sharing"",""กองทุน!J77"")"),0)</f>
        <v>0</v>
      </c>
      <c r="K524" s="200">
        <f t="shared" ca="1" si="116"/>
        <v>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IFERROR(__xludf.DUMMYFUNCTION("IMPORTRANGE(""https://docs.google.com/spreadsheets/d/1muirlRDkqiswvy_NRZ3Yh955hx-PF6_HhssUYiSJj8o/edit?usp=sharing"",""กองทุน!N77"")"),69433.95)</f>
        <v>69433.95</v>
      </c>
      <c r="J525" s="199">
        <f ca="1">IFERROR(__xludf.DUMMYFUNCTION("IMPORTRANGE(""https://docs.google.com/spreadsheets/d/1muirlRDkqiswvy_NRZ3Yh955hx-PF6_HhssUYiSJj8o/edit?usp=sharing"",""กองทุน!P77"")"),0)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IFERROR(__xludf.DUMMYFUNCTION("IMPORTRANGE(""https://docs.google.com/spreadsheets/d/1muirlRDkqiswvy_NRZ3Yh955hx-PF6_HhssUYiSJj8o/edit?usp=sharing"",""กองทุน!M77"")"),25)</f>
        <v>25</v>
      </c>
      <c r="J526" s="199">
        <f ca="1">IFERROR(__xludf.DUMMYFUNCTION("IMPORTRANGE(""https://docs.google.com/spreadsheets/d/1muirlRDkqiswvy_NRZ3Yh955hx-PF6_HhssUYiSJj8o/edit?usp=sharing"",""กองทุน!O77"")"),0)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IFERROR(__xludf.DUMMYFUNCTION("IMPORTRANGE(""https://docs.google.com/spreadsheets/d/1muirlRDkqiswvy_NRZ3Yh955hx-PF6_HhssUYiSJj8o/edit?usp=sharing"",""กองทุน!S77"")"),520000)</f>
        <v>520000</v>
      </c>
      <c r="J527" s="199">
        <f ca="1">IFERROR(__xludf.DUMMYFUNCTION("IMPORTRANGE(""https://docs.google.com/spreadsheets/d/1muirlRDkqiswvy_NRZ3Yh955hx-PF6_HhssUYiSJj8o/edit?usp=sharing"",""กองทุน!U77"")"),0)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IFERROR(__xludf.DUMMYFUNCTION("IMPORTRANGE(""https://docs.google.com/spreadsheets/d/1muirlRDkqiswvy_NRZ3Yh955hx-PF6_HhssUYiSJj8o/edit?usp=sharing"",""กองทุน!R77"")"),19)</f>
        <v>19</v>
      </c>
      <c r="J528" s="324">
        <f ca="1">IFERROR(__xludf.DUMMYFUNCTION("IMPORTRANGE(""https://docs.google.com/spreadsheets/d/1muirlRDkqiswvy_NRZ3Yh955hx-PF6_HhssUYiSJj8o/edit?usp=sharing"",""กองทุน!T77"")"),0)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N1036"/>
  <sheetViews>
    <sheetView tabSelected="1" view="pageBreakPreview" zoomScale="60" zoomScaleNormal="100" workbookViewId="0">
      <selection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244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2143555</v>
      </c>
      <c r="M6" s="16">
        <f t="shared" si="0"/>
        <v>128954.41</v>
      </c>
      <c r="N6" s="17">
        <f ca="1">IF(L6&gt;0,M6*100/L6,0)</f>
        <v>6.0159132842404324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2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947200</v>
      </c>
      <c r="M9" s="40">
        <f>SUM(M11:M12)</f>
        <v>40900</v>
      </c>
      <c r="N9" s="39">
        <f ca="1">IF(L9&gt;0,M9*100/L9,0)</f>
        <v>4.3179898648648649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IFERROR(__xludf.DUMMYFUNCTION("IMPORTRANGE(""https://docs.google.com/spreadsheets/d/1C3CXT74ZlgGe6_JY_1olB1XN4rF0dxEuIIF-xsYjHgg/edit?usp=sharing"",""พรบ!C78"")"),947200)</f>
        <v>947200</v>
      </c>
      <c r="M12" s="49">
        <f>SUM(M13:M14)</f>
        <v>40900</v>
      </c>
      <c r="N12" s="49">
        <f t="shared" ca="1" si="4"/>
        <v>4.3179898648648649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IFERROR(__xludf.DUMMYFUNCTION("IMPORTRANGE(""https://docs.google.com/spreadsheets/d/1C3CXT74ZlgGe6_JY_1olB1XN4rF0dxEuIIF-xsYjHgg/edit?usp=sharing"",""พรบ!D78"")"),317200)</f>
        <v>317200</v>
      </c>
      <c r="M13" s="53">
        <v>27900</v>
      </c>
      <c r="N13" s="52">
        <f t="shared" ca="1" si="4"/>
        <v>8.7957124842370735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IFERROR(__xludf.DUMMYFUNCTION("IMPORTRANGE(""https://docs.google.com/spreadsheets/d/1C3CXT74ZlgGe6_JY_1olB1XN4rF0dxEuIIF-xsYjHgg/edit?usp=sharing"",""พรบ!E78"")"),630000)</f>
        <v>630000</v>
      </c>
      <c r="M14" s="53">
        <v>13000</v>
      </c>
      <c r="N14" s="52">
        <f t="shared" ca="1" si="4"/>
        <v>2.0634920634920637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1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2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70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IFERROR(__xludf.DUMMYFUNCTION("IMPORTRANGE(""https://docs.google.com/spreadsheets/d/1C3CXT74ZlgGe6_JY_1olB1XN4rF0dxEuIIF-xsYjHgg/edit?usp=sharing"",""พรบ!H78"")"),0)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IFERROR(__xludf.DUMMYFUNCTION("IMPORTRANGE(""https://docs.google.com/spreadsheets/d/1C3CXT74ZlgGe6_JY_1olB1XN4rF0dxEuIIF-xsYjHgg/edit?usp=sharing"",""พรบ!I78"")"),0)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IFERROR(__xludf.DUMMYFUNCTION("IMPORTRANGE(""https://docs.google.com/spreadsheets/d/1C3CXT74ZlgGe6_JY_1olB1XN4rF0dxEuIIF-xsYjHgg/edit?usp=sharing"",""พรบ!J78"")"),0)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IFERROR(__xludf.DUMMYFUNCTION("IMPORTRANGE(""https://docs.google.com/spreadsheets/d/1C3CXT74ZlgGe6_JY_1olB1XN4rF0dxEuIIF-xsYjHgg/edit?usp=sharing"",""พรบ!K78"")"),0)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IFERROR(__xludf.DUMMYFUNCTION("IMPORTRANGE(""https://docs.google.com/spreadsheets/d/1C3CXT74ZlgGe6_JY_1olB1XN4rF0dxEuIIF-xsYjHgg/edit?usp=sharing"",""พรบ!L78"")"),2)</f>
        <v>2</v>
      </c>
      <c r="J26" s="67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IFERROR(__xludf.DUMMYFUNCTION("IMPORTRANGE(""https://docs.google.com/spreadsheets/d/1C3CXT74ZlgGe6_JY_1olB1XN4rF0dxEuIIF-xsYjHgg/edit?usp=sharing"",""พรบ!M78"")"),70)</f>
        <v>70</v>
      </c>
      <c r="J27" s="67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IFERROR(__xludf.DUMMYFUNCTION("IMPORTRANGE(""https://docs.google.com/spreadsheets/d/1C3CXT74ZlgGe6_JY_1olB1XN4rF0dxEuIIF-xsYjHgg/edit?usp=sharing"",""พรบ!N78"")"),0)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IFERROR(__xludf.DUMMYFUNCTION("IMPORTRANGE(""https://docs.google.com/spreadsheets/d/1C3CXT74ZlgGe6_JY_1olB1XN4rF0dxEuIIF-xsYjHgg/edit?usp=sharing"",""พรบ!O78"")"),0)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IFERROR(__xludf.DUMMYFUNCTION("IMPORTRANGE(""https://docs.google.com/spreadsheets/d/1C3CXT74ZlgGe6_JY_1olB1XN4rF0dxEuIIF-xsYjHgg/edit?usp=sharing"",""พรบ!P78"")"),0)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IFERROR(__xludf.DUMMYFUNCTION("IMPORTRANGE(""https://docs.google.com/spreadsheets/d/1C3CXT74ZlgGe6_JY_1olB1XN4rF0dxEuIIF-xsYjHgg/edit?usp=sharing"",""พรบ!Q78"")"),0)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IFERROR(__xludf.DUMMYFUNCTION("IMPORTRANGE(""https://docs.google.com/spreadsheets/d/1C3CXT74ZlgGe6_JY_1olB1XN4rF0dxEuIIF-xsYjHgg/edit?usp=sharing"",""พรบ!R78"")"),0)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IFERROR(__xludf.DUMMYFUNCTION("IMPORTRANGE(""https://docs.google.com/spreadsheets/d/1C3CXT74ZlgGe6_JY_1olB1XN4rF0dxEuIIF-xsYjHgg/edit?usp=sharing"",""พรบ!S78"")"),0)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IFERROR(__xludf.DUMMYFUNCTION("IMPORTRANGE(""https://docs.google.com/spreadsheets/d/1C3CXT74ZlgGe6_JY_1olB1XN4rF0dxEuIIF-xsYjHgg/edit?usp=sharing"",""พรบ!T78"")"),0)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IFERROR(__xludf.DUMMYFUNCTION("IMPORTRANGE(""https://docs.google.com/spreadsheets/d/1C3CXT74ZlgGe6_JY_1olB1XN4rF0dxEuIIF-xsYjHgg/edit?usp=sharing"",""พรบ!U78"")"),0)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IFERROR(__xludf.DUMMYFUNCTION("IMPORTRANGE(""https://docs.google.com/spreadsheets/d/1C3CXT74ZlgGe6_JY_1olB1XN4rF0dxEuIIF-xsYjHgg/edit?usp=sharing"",""พรบ!V78"")"),0)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IFERROR(__xludf.DUMMYFUNCTION("IMPORTRANGE(""https://docs.google.com/spreadsheets/d/1C3CXT74ZlgGe6_JY_1olB1XN4rF0dxEuIIF-xsYjHgg/edit?usp=sharing"",""พรบ!W78"")"),0)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15</v>
      </c>
      <c r="J52" s="38">
        <f>+J62</f>
        <v>0</v>
      </c>
      <c r="K52" s="39">
        <f ca="1">IF(I52&gt;0,J52*100/I52,0)</f>
        <v>0</v>
      </c>
      <c r="L52" s="40">
        <f ca="1">L53+L54</f>
        <v>64890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64890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IFERROR(__xludf.DUMMYFUNCTION("IMPORTRANGE(""https://docs.google.com/spreadsheets/d/1C3CXT74ZlgGe6_JY_1olB1XN4rF0dxEuIIF-xsYjHgg/edit?usp=sharing"",""พรบ!Y78"")"),0)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IFERROR(__xludf.DUMMYFUNCTION("IMPORTRANGE(""https://docs.google.com/spreadsheets/d/1C3CXT74ZlgGe6_JY_1olB1XN4rF0dxEuIIF-xsYjHgg/edit?usp=sharing"",""พรบ!Z78"")"),64890)</f>
        <v>64890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1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0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0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IFERROR(__xludf.DUMMYFUNCTION("IMPORTRANGE(""https://docs.google.com/spreadsheets/d/1C3CXT74ZlgGe6_JY_1olB1XN4rF0dxEuIIF-xsYjHgg/edit?usp=sharing"",""พรบ!AA78"")"),15)</f>
        <v>15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15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30500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30500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IFERROR(__xludf.DUMMYFUNCTION("IMPORTRANGE(""https://docs.google.com/spreadsheets/d/1C3CXT74ZlgGe6_JY_1olB1XN4rF0dxEuIIF-xsYjHgg/edit?usp=sharing"",""พรบ!AD78"")"),0)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30500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IFERROR(__xludf.DUMMYFUNCTION("IMPORTRANGE(""https://docs.google.com/spreadsheets/d/1C3CXT74ZlgGe6_JY_1olB1XN4rF0dxEuIIF-xsYjHgg/edit?usp=sharing"",""พรบ!AF78"")"),7500)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IFERROR(__xludf.DUMMYFUNCTION("IMPORTRANGE(""https://docs.google.com/spreadsheets/d/1C3CXT74ZlgGe6_JY_1olB1XN4rF0dxEuIIF-xsYjHgg/edit?usp=sharing"",""พรบ!AG78"")"),4)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IFERROR(__xludf.DUMMYFUNCTION("IMPORTRANGE(""https://docs.google.com/spreadsheets/d/1C3CXT74ZlgGe6_JY_1olB1XN4rF0dxEuIIF-xsYjHgg/edit?usp=sharing"",""พรบ!AH78"")"),14000)</f>
        <v>14000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IFERROR(__xludf.DUMMYFUNCTION("IMPORTRANGE(""https://docs.google.com/spreadsheets/d/1C3CXT74ZlgGe6_JY_1olB1XN4rF0dxEuIIF-xsYjHgg/edit?usp=sharing"",""พรบ!AI78"")"),1)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IFERROR(__xludf.DUMMYFUNCTION("IMPORTRANGE(""https://docs.google.com/spreadsheets/d/1C3CXT74ZlgGe6_JY_1olB1XN4rF0dxEuIIF-xsYjHgg/edit?usp=sharing"",""กปร!C78"")"),12000)</f>
        <v>12000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IFERROR(__xludf.DUMMYFUNCTION("IMPORTRANGE(""https://docs.google.com/spreadsheets/d/1C3CXT74ZlgGe6_JY_1olB1XN4rF0dxEuIIF-xsYjHgg/edit?usp=sharing"",""พรบ!AJ78"")"),0)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IFERROR(__xludf.DUMMYFUNCTION("IMPORTRANGE(""https://docs.google.com/spreadsheets/d/1C3CXT74ZlgGe6_JY_1olB1XN4rF0dxEuIIF-xsYjHgg/edit?usp=sharing"",""พรบ!AK78"")"),0)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IFERROR(__xludf.DUMMYFUNCTION("IMPORTRANGE(""https://docs.google.com/spreadsheets/d/1C3CXT74ZlgGe6_JY_1olB1XN4rF0dxEuIIF-xsYjHgg/edit?usp=sharing"",""กปร!D78"")"),0)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IFERROR(__xludf.DUMMYFUNCTION("IMPORTRANGE(""https://docs.google.com/spreadsheets/d/1C3CXT74ZlgGe6_JY_1olB1XN4rF0dxEuIIF-xsYjHgg/edit?usp=sharing"",""พรบ!AL78"")"),0)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IFERROR(__xludf.DUMMYFUNCTION("IMPORTRANGE(""https://docs.google.com/spreadsheets/d/1C3CXT74ZlgGe6_JY_1olB1XN4rF0dxEuIIF-xsYjHgg/edit?usp=sharing"",""กปร!E78"")"),0)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20000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9000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9000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IFERROR(__xludf.DUMMYFUNCTION("IMPORTRANGE(""https://docs.google.com/spreadsheets/d/1C3CXT74ZlgGe6_JY_1olB1XN4rF0dxEuIIF-xsYjHgg/edit?usp=sharing"",""พรบ!AM78"")"),9000)</f>
        <v>9000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IFERROR(__xludf.DUMMYFUNCTION("IMPORTRANGE(""https://docs.google.com/spreadsheets/d/1C3CXT74ZlgGe6_JY_1olB1XN4rF0dxEuIIF-xsYjHgg/edit?usp=sharing"",""พรบ!AO78"")"),20000)</f>
        <v>20000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IFERROR(__xludf.DUMMYFUNCTION("IMPORTRANGE(""https://docs.google.com/spreadsheets/d/1C3CXT74ZlgGe6_JY_1olB1XN4rF0dxEuIIF-xsYjHgg/edit?usp=sharing"",""พรบ!AP78"")"),20000)</f>
        <v>20000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IFERROR(__xludf.DUMMYFUNCTION("IMPORTRANGE(""https://docs.google.com/spreadsheets/d/1C3CXT74ZlgGe6_JY_1olB1XN4rF0dxEuIIF-xsYjHgg/edit?usp=sharing"",""กปร!F78"")"),5000)</f>
        <v>5000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IFERROR(__xludf.DUMMYFUNCTION("IMPORTRANGE(""https://docs.google.com/spreadsheets/d/1C3CXT74ZlgGe6_JY_1olB1XN4rF0dxEuIIF-xsYjHgg/edit?usp=sharing"",""พรบ!AQ78"")"),0)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IFERROR(__xludf.DUMMYFUNCTION("IMPORTRANGE(""https://docs.google.com/spreadsheets/d/1C3CXT74ZlgGe6_JY_1olB1XN4rF0dxEuIIF-xsYjHgg/edit?usp=sharing"",""กปร!G78"")"),0)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IFERROR(__xludf.DUMMYFUNCTION("IMPORTRANGE(""https://docs.google.com/spreadsheets/d/1C3CXT74ZlgGe6_JY_1olB1XN4rF0dxEuIIF-xsYjHgg/edit?usp=sharing"",""พรบ!AR78"")"),0)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IFERROR(__xludf.DUMMYFUNCTION("IMPORTRANGE(""https://docs.google.com/spreadsheets/d/1C3CXT74ZlgGe6_JY_1olB1XN4rF0dxEuIIF-xsYjHgg/edit?usp=sharing"",""พรบ!AS78"")"),0)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IFERROR(__xludf.DUMMYFUNCTION("IMPORTRANGE(""https://docs.google.com/spreadsheets/d/1C3CXT74ZlgGe6_JY_1olB1XN4rF0dxEuIIF-xsYjHgg/edit?usp=sharing"",""กปร!H78"")"),0)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IFERROR(__xludf.DUMMYFUNCTION("IMPORTRANGE(""https://docs.google.com/spreadsheets/d/1C3CXT74ZlgGe6_JY_1olB1XN4rF0dxEuIIF-xsYjHgg/edit?usp=sharing"",""พรบ!AT78"")"),0)</f>
        <v>0</v>
      </c>
      <c r="J140" s="67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IFERROR(__xludf.DUMMYFUNCTION("IMPORTRANGE(""https://docs.google.com/spreadsheets/d/1C3CXT74ZlgGe6_JY_1olB1XN4rF0dxEuIIF-xsYjHgg/edit?usp=sharing"",""กปร!I78"")"),0)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IFERROR(__xludf.DUMMYFUNCTION("IMPORTRANGE(""https://docs.google.com/spreadsheets/d/1C3CXT74ZlgGe6_JY_1olB1XN4rF0dxEuIIF-xsYjHgg/edit?usp=sharing"",""พรบ!AU78"")"),0)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IFERROR(__xludf.DUMMYFUNCTION("IMPORTRANGE(""https://docs.google.com/spreadsheets/d/1C3CXT74ZlgGe6_JY_1olB1XN4rF0dxEuIIF-xsYjHgg/edit?usp=sharing"",""กปร!J78"")"),0)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1</v>
      </c>
      <c r="K144" s="137">
        <f ca="1">IF(I144&gt;0,J144*100/I144,0)</f>
        <v>6.666666666666667</v>
      </c>
      <c r="L144" s="138">
        <f ca="1">L145+L146</f>
        <v>21125</v>
      </c>
      <c r="M144" s="138">
        <f>SUM(M145:M146)</f>
        <v>14040</v>
      </c>
      <c r="N144" s="137">
        <f ca="1">IF(L144&gt;0,M144*100/L144,0)</f>
        <v>66.461538461538467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14040</v>
      </c>
      <c r="N146" s="49">
        <f t="shared" ca="1" si="37"/>
        <v>66.461538461538467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IFERROR(__xludf.DUMMYFUNCTION("IMPORTRANGE(""https://docs.google.com/spreadsheets/d/1C3CXT74ZlgGe6_JY_1olB1XN4rF0dxEuIIF-xsYjHgg/edit?usp=sharing"",""พรบ!AY78"")"),21125)</f>
        <v>21125</v>
      </c>
      <c r="M148" s="53">
        <v>14040</v>
      </c>
      <c r="N148" s="52">
        <f t="shared" ca="1" si="37"/>
        <v>66.461538461538467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1</v>
      </c>
      <c r="K149" s="137">
        <f ca="1">IF(I149&gt;0,J149*100/I149,0)</f>
        <v>6.666666666666667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IFERROR(__xludf.DUMMYFUNCTION("IMPORTRANGE(""https://docs.google.com/spreadsheets/d/1C3CXT74ZlgGe6_JY_1olB1XN4rF0dxEuIIF-xsYjHgg/edit?usp=sharing"",""พรบ!BA78"")"),15)</f>
        <v>15</v>
      </c>
      <c r="J155" s="67">
        <v>1</v>
      </c>
      <c r="K155" s="48">
        <f ca="1">IF(I155&gt;0,J155*100/I155,0)</f>
        <v>6.666666666666667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71400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IFERROR(__xludf.DUMMYFUNCTION("IMPORTRANGE(""https://docs.google.com/spreadsheets/d/1C3CXT74ZlgGe6_JY_1olB1XN4rF0dxEuIIF-xsYjHgg/edit?usp=sharing"",""พรบ!BD78"")"),0)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IFERROR(__xludf.DUMMYFUNCTION("IMPORTRANGE(""https://docs.google.com/spreadsheets/d/1C3CXT74ZlgGe6_JY_1olB1XN4rF0dxEuIIF-xsYjHgg/edit?usp=sharing"",""พรบ!BE78"")"),71400)</f>
        <v>71400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IFERROR(__xludf.DUMMYFUNCTION("IMPORTRANGE(""https://docs.google.com/spreadsheets/d/1C3CXT74ZlgGe6_JY_1olB1XN4rF0dxEuIIF-xsYjHgg/edit?usp=sharing"",""พรบ!BF78"")"),1)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IFERROR(__xludf.DUMMYFUNCTION("IMPORTRANGE(""https://docs.google.com/spreadsheets/d/1C3CXT74ZlgGe6_JY_1olB1XN4rF0dxEuIIF-xsYjHgg/edit?usp=sharing"",""พรบ!BG78"")"),20)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IFERROR(__xludf.DUMMYFUNCTION("IMPORTRANGE(""https://docs.google.com/spreadsheets/d/1C3CXT74ZlgGe6_JY_1olB1XN4rF0dxEuIIF-xsYjHgg/edit?usp=sharing"",""พรบ!BH78"")"),20)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IFERROR(__xludf.DUMMYFUNCTION("IMPORTRANGE(""https://docs.google.com/spreadsheets/d/1C3CXT74ZlgGe6_JY_1olB1XN4rF0dxEuIIF-xsYjHgg/edit?usp=sharing"",""พรบ!BI78"")"),1)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105700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105700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IFERROR(__xludf.DUMMYFUNCTION("IMPORTRANGE(""https://docs.google.com/spreadsheets/d/1C3CXT74ZlgGe6_JY_1olB1XN4rF0dxEuIIF-xsYjHgg/edit?usp=sharing"",""พรบ!BK78"")"),0)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IFERROR(__xludf.DUMMYFUNCTION("IMPORTRANGE(""https://docs.google.com/spreadsheets/d/1C3CXT74ZlgGe6_JY_1olB1XN4rF0dxEuIIF-xsYjHgg/edit?usp=sharing"",""พรบ!BL78"")"),105700)</f>
        <v>105700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IFERROR(__xludf.DUMMYFUNCTION("IMPORTRANGE(""https://docs.google.com/spreadsheets/d/1C3CXT74ZlgGe6_JY_1olB1XN4rF0dxEuIIF-xsYjHgg/edit?usp=sharing"",""พรบ!BM78"")"),15)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IFERROR(__xludf.DUMMYFUNCTION("IMPORTRANGE(""https://docs.google.com/spreadsheets/d/1C3CXT74ZlgGe6_JY_1olB1XN4rF0dxEuIIF-xsYjHgg/edit?usp=sharing"",""พรบ!BP78"")"),0)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IFERROR(__xludf.DUMMYFUNCTION("IMPORTRANGE(""https://docs.google.com/spreadsheets/d/1C3CXT74ZlgGe6_JY_1olB1XN4rF0dxEuIIF-xsYjHgg/edit?usp=sharing"",""พรบ!BQ78"")"),0)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IFERROR(__xludf.DUMMYFUNCTION("IMPORTRANGE(""https://docs.google.com/spreadsheets/d/1C3CXT74ZlgGe6_JY_1olB1XN4rF0dxEuIIF-xsYjHgg/edit?usp=sharing"",""พรบ!BR78"")"),0)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IFERROR(__xludf.DUMMYFUNCTION("IMPORTRANGE(""https://docs.google.com/spreadsheets/d/1C3CXT74ZlgGe6_JY_1olB1XN4rF0dxEuIIF-xsYjHgg/edit?usp=sharing"",""พรบ!BU78"")"),0)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IFERROR(__xludf.DUMMYFUNCTION("IMPORTRANGE(""https://docs.google.com/spreadsheets/d/1C3CXT74ZlgGe6_JY_1olB1XN4rF0dxEuIIF-xsYjHgg/edit?usp=sharing"",""พรบ!BV78"")"),0)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120</v>
      </c>
      <c r="J228" s="197">
        <f ca="1">J240</f>
        <v>41</v>
      </c>
      <c r="K228" s="178">
        <f ca="1">IF(I228&gt;0,J228*100/I228,0)</f>
        <v>34.166666666666664</v>
      </c>
      <c r="L228" s="179">
        <f ca="1">L229+L230</f>
        <v>902740</v>
      </c>
      <c r="M228" s="179">
        <f>SUM(M229:M230)</f>
        <v>74014.41</v>
      </c>
      <c r="N228" s="178">
        <f ca="1">IF(L228&gt;0,M228*100/L228,0)</f>
        <v>8.1988623523938227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902740</v>
      </c>
      <c r="M230" s="52">
        <f t="shared" si="51"/>
        <v>74014.41</v>
      </c>
      <c r="N230" s="52">
        <f t="shared" ca="1" si="50"/>
        <v>8.1988623523938227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IFERROR(__xludf.DUMMYFUNCTION("IMPORTRANGE(""https://docs.google.com/spreadsheets/d/1C3CXT74ZlgGe6_JY_1olB1XN4rF0dxEuIIF-xsYjHgg/edit?usp=sharing"",""พรบ!BX78"")"),583200)</f>
        <v>583200</v>
      </c>
      <c r="M231" s="53">
        <v>42354.41</v>
      </c>
      <c r="N231" s="52">
        <f t="shared" ca="1" si="50"/>
        <v>7.2624159807956108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IFERROR(__xludf.DUMMYFUNCTION("IMPORTRANGE(""https://docs.google.com/spreadsheets/d/1C3CXT74ZlgGe6_JY_1olB1XN4rF0dxEuIIF-xsYjHgg/edit?usp=sharing"",""พรบ!BY78"")"),319540)</f>
        <v>319540</v>
      </c>
      <c r="M232" s="53">
        <v>31660</v>
      </c>
      <c r="N232" s="52">
        <f t="shared" ca="1" si="50"/>
        <v>9.907992739563122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IFERROR(__xludf.DUMMYFUNCTION("IMPORTRANGE(""https://docs.google.com/spreadsheets/d/1AGHcLOeeYFL3K4b9R1dSzyJy00PE_ra89DNTVfnxSWM/edit?usp=sharing"",""รวมที่ทำกิน!J67"")"),6)</f>
        <v>6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IFERROR(__xludf.DUMMYFUNCTION("IMPORTRANGE(""https://docs.google.com/spreadsheets/d/1C3CXT74ZlgGe6_JY_1olB1XN4rF0dxEuIIF-xsYjHgg/edit?usp=sharing"",""พรบ!BZ78"")"),800)</f>
        <v>800</v>
      </c>
      <c r="J235" s="66">
        <f ca="1">IFERROR(__xludf.DUMMYFUNCTION("IMPORTRANGE(""https://docs.google.com/spreadsheets/d/1AGHcLOeeYFL3K4b9R1dSzyJy00PE_ra89DNTVfnxSWM/edit?usp=sharing"",""รวมที่ทำกิน!L67"")"),101.41)</f>
        <v>101.41</v>
      </c>
      <c r="K235" s="200">
        <f t="shared" ca="1" si="52"/>
        <v>12.67625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IFERROR(__xludf.DUMMYFUNCTION("IMPORTRANGE(""https://docs.google.com/spreadsheets/d/1C3CXT74ZlgGe6_JY_1olB1XN4rF0dxEuIIF-xsYjHgg/edit?usp=sharing"",""พรบ!CA78"")"),120)</f>
        <v>120</v>
      </c>
      <c r="J236" s="66">
        <f ca="1">IFERROR(__xludf.DUMMYFUNCTION("IMPORTRANGE(""https://docs.google.com/spreadsheets/d/1AGHcLOeeYFL3K4b9R1dSzyJy00PE_ra89DNTVfnxSWM/edit?usp=sharing"",""รวมที่ทำกิน!O67"")"),40)</f>
        <v>40</v>
      </c>
      <c r="K236" s="200">
        <f t="shared" ca="1" si="52"/>
        <v>33.333333333333336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IFERROR(__xludf.DUMMYFUNCTION("IMPORTRANGE(""https://docs.google.com/spreadsheets/d/1AGHcLOeeYFL3K4b9R1dSzyJy00PE_ra89DNTVfnxSWM/edit?usp=sharing"",""รวมที่ทำกิน!Q67"")"),583.71)</f>
        <v>583.71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IFERROR(__xludf.DUMMYFUNCTION("IMPORTRANGE(""https://docs.google.com/spreadsheets/d/1C3CXT74ZlgGe6_JY_1olB1XN4rF0dxEuIIF-xsYjHgg/edit?usp=sharing"",""พรบ!CB78"")"),120)</f>
        <v>120</v>
      </c>
      <c r="J238" s="66">
        <f ca="1">IFERROR(__xludf.DUMMYFUNCTION("IMPORTRANGE(""https://docs.google.com/spreadsheets/d/1AGHcLOeeYFL3K4b9R1dSzyJy00PE_ra89DNTVfnxSWM/edit?usp=sharing"",""รวมที่ทำกิน!S67"")"),0)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IFERROR(__xludf.DUMMYFUNCTION("IMPORTRANGE(""https://docs.google.com/spreadsheets/d/1AGHcLOeeYFL3K4b9R1dSzyJy00PE_ra89DNTVfnxSWM/edit?usp=sharing"",""รวมที่ทำกิน!U67"")"),0)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IFERROR(__xludf.DUMMYFUNCTION("IMPORTRANGE(""https://docs.google.com/spreadsheets/d/1C3CXT74ZlgGe6_JY_1olB1XN4rF0dxEuIIF-xsYjHgg/edit?usp=sharing"",""พรบ!CC78"")"),120)</f>
        <v>120</v>
      </c>
      <c r="J240" s="66">
        <f ca="1">IFERROR(__xludf.DUMMYFUNCTION("IMPORTRANGE(""https://docs.google.com/spreadsheets/d/1AGHcLOeeYFL3K4b9R1dSzyJy00PE_ra89DNTVfnxSWM/edit?usp=sharing"",""รวมที่ทำกิน!W67"")"),41)</f>
        <v>41</v>
      </c>
      <c r="K240" s="200">
        <f t="shared" ca="1" si="52"/>
        <v>34.166666666666664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IFERROR(__xludf.DUMMYFUNCTION("IMPORTRANGE(""https://docs.google.com/spreadsheets/d/1AGHcLOeeYFL3K4b9R1dSzyJy00PE_ra89DNTVfnxSWM/edit?usp=sharing"",""รวมที่ทำกิน!Y67"")"),585.67)</f>
        <v>585.66999999999996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2607395</v>
      </c>
      <c r="M242" s="213">
        <f t="shared" si="53"/>
        <v>112203.13999999998</v>
      </c>
      <c r="N242" s="213">
        <f ca="1">+IF(L242&gt;0,M242*100/L242,0)</f>
        <v>4.3032659033249656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63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295840</v>
      </c>
      <c r="M244" s="228">
        <f t="shared" si="56"/>
        <v>2000</v>
      </c>
      <c r="N244" s="228">
        <f ca="1">+IF(L244&gt;0,M244*100/L244,0)</f>
        <v>0.67604110329908063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42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295840</v>
      </c>
      <c r="M247" s="49">
        <f t="shared" si="58"/>
        <v>2000</v>
      </c>
      <c r="N247" s="49">
        <f t="shared" ca="1" si="57"/>
        <v>0.67604110329908063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IFERROR(__xludf.DUMMYFUNCTION("IMPORTRANGE(""https://docs.google.com/spreadsheets/d/1C3CXT74ZlgGe6_JY_1olB1XN4rF0dxEuIIF-xsYjHgg/edit?usp=sharing"",""งบกองทุน!d78"")"),0)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IFERROR(__xludf.DUMMYFUNCTION("IMPORTRANGE(""https://docs.google.com/spreadsheets/d/1C3CXT74ZlgGe6_JY_1olB1XN4rF0dxEuIIF-xsYjHgg/edit?usp=sharing"",""งบกองทุน!e78"")"),295840)</f>
        <v>295840</v>
      </c>
      <c r="M249" s="52">
        <f>SUM(M250:M253)</f>
        <v>2000</v>
      </c>
      <c r="N249" s="52">
        <f t="shared" ca="1" si="57"/>
        <v>0.67604110329908063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2000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IFERROR(__xludf.DUMMYFUNCTION("IMPORTRANGE(""https://docs.google.com/spreadsheets/d/1C3CXT74ZlgGe6_JY_1olB1XN4rF0dxEuIIF-xsYjHgg/edit?usp=sharing"",""งบกองทุน!f78"")"),0)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63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IFERROR(__xludf.DUMMYFUNCTION("IMPORTRANGE(""https://docs.google.com/spreadsheets/d/1C3CXT74ZlgGe6_JY_1olB1XN4rF0dxEuIIF-xsYjHgg/edit?usp=sharing"",""งบกองทุน!H78"")"),42)</f>
        <v>42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IFERROR(__xludf.DUMMYFUNCTION("IMPORTRANGE(""https://docs.google.com/spreadsheets/d/1C3CXT74ZlgGe6_JY_1olB1XN4rF0dxEuIIF-xsYjHgg/edit?usp=sharing"",""งบกองทุน!i78"")"),43)</f>
        <v>43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42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IFERROR(__xludf.DUMMYFUNCTION("IMPORTRANGE(""https://docs.google.com/spreadsheets/d/1C3CXT74ZlgGe6_JY_1olB1XN4rF0dxEuIIF-xsYjHgg/edit?usp=sharing"",""งบกองทุน!k78"")"),20)</f>
        <v>20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42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IFERROR(__xludf.DUMMYFUNCTION("IMPORTRANGE(""https://docs.google.com/spreadsheets/d/1C3CXT74ZlgGe6_JY_1olB1XN4rF0dxEuIIF-xsYjHgg/edit?usp=sharing"",""งบกองทุน!m78"")"),0)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63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IFERROR(__xludf.DUMMYFUNCTION("IMPORTRANGE(""https://docs.google.com/spreadsheets/d/1C3CXT74ZlgGe6_JY_1olB1XN4rF0dxEuIIF-xsYjHgg/edit?usp=sharing"",""งบกองทุน!o78"")"),20)</f>
        <v>20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IFERROR(__xludf.DUMMYFUNCTION("IMPORTRANGE(""https://docs.google.com/spreadsheets/d/1C3CXT74ZlgGe6_JY_1olB1XN4rF0dxEuIIF-xsYjHgg/edit?usp=sharing"",""งบกองทุน!p78"")"),43)</f>
        <v>43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11741.95</v>
      </c>
      <c r="N275" s="228">
        <f ca="1">+IF(L275&gt;0,M275*100/L275,0)</f>
        <v>1.1416355539999221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11741.95</v>
      </c>
      <c r="N278" s="49">
        <f t="shared" ca="1" si="65"/>
        <v>1.1416355539999221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IFERROR(__xludf.DUMMYFUNCTION("IMPORTRANGE(""https://docs.google.com/spreadsheets/d/1C3CXT74ZlgGe6_JY_1olB1XN4rF0dxEuIIF-xsYjHgg/edit?usp=sharing"",""งบกองทุน!r78"")"),0)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IFERROR(__xludf.DUMMYFUNCTION("IMPORTRANGE(""https://docs.google.com/spreadsheets/d/1C3CXT74ZlgGe6_JY_1olB1XN4rF0dxEuIIF-xsYjHgg/edit?usp=sharing"",""งบกองทุน!s78"")"),1028520)</f>
        <v>1028520</v>
      </c>
      <c r="M280" s="52">
        <f>SUM(M281:M284)</f>
        <v>11741.95</v>
      </c>
      <c r="N280" s="52">
        <f t="shared" ca="1" si="65"/>
        <v>1.1416355539999221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11741.95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IFERROR(__xludf.DUMMYFUNCTION("IMPORTRANGE(""https://docs.google.com/spreadsheets/d/1C3CXT74ZlgGe6_JY_1olB1XN4rF0dxEuIIF-xsYjHgg/edit?usp=sharing"",""งบกองทุน!v78"")"),100)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IFERROR(__xludf.DUMMYFUNCTION("IMPORTRANGE(""https://docs.google.com/spreadsheets/d/1C3CXT74ZlgGe6_JY_1olB1XN4rF0dxEuIIF-xsYjHgg/edit?usp=sharing"",""งบกองทุน!w78"")"),1000)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IFERROR(__xludf.DUMMYFUNCTION("IMPORTRANGE(""https://docs.google.com/spreadsheets/d/1C3CXT74ZlgGe6_JY_1olB1XN4rF0dxEuIIF-xsYjHgg/edit?usp=sharing"",""งบกองทุน!x78"")"),100)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180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186540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186540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IFERROR(__xludf.DUMMYFUNCTION("IMPORTRANGE(""https://docs.google.com/spreadsheets/d/1C3CXT74ZlgGe6_JY_1olB1XN4rF0dxEuIIF-xsYjHgg/edit?usp=sharing"",""งบกองทุน!z78"")"),0)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IFERROR(__xludf.DUMMYFUNCTION("IMPORTRANGE(""https://docs.google.com/spreadsheets/d/1C3CXT74ZlgGe6_JY_1olB1XN4rF0dxEuIIF-xsYjHgg/edit?usp=sharing"",""งบกองทุน!aa78"")"),186540)</f>
        <v>186540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60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IFERROR(__xludf.DUMMYFUNCTION("IMPORTRANGE(""https://docs.google.com/spreadsheets/d/1C3CXT74ZlgGe6_JY_1olB1XN4rF0dxEuIIF-xsYjHgg/edit?usp=sharing"",""งบกองทุน!ae78"")"),0)</f>
        <v>0</v>
      </c>
      <c r="J312" s="364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IFERROR(__xludf.DUMMYFUNCTION("IMPORTRANGE(""https://docs.google.com/spreadsheets/d/1C3CXT74ZlgGe6_JY_1olB1XN4rF0dxEuIIF-xsYjHgg/edit?usp=sharing"",""งบกองทุน!ad78"")"),0)</f>
        <v>0</v>
      </c>
      <c r="J313" s="364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IFERROR(__xludf.DUMMYFUNCTION("IMPORTRANGE(""https://docs.google.com/spreadsheets/d/1C3CXT74ZlgGe6_JY_1olB1XN4rF0dxEuIIF-xsYjHgg/edit?usp=sharing"",""งบกองทุน!af78"")"),0)</f>
        <v>0</v>
      </c>
      <c r="J314" s="365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IFERROR(__xludf.DUMMYFUNCTION("IMPORTRANGE(""https://docs.google.com/spreadsheets/d/1C3CXT74ZlgGe6_JY_1olB1XN4rF0dxEuIIF-xsYjHgg/edit?usp=sharing"",""งบกองทุน!ag78"")"),0)</f>
        <v>0</v>
      </c>
      <c r="J315" s="365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IFERROR(__xludf.DUMMYFUNCTION("IMPORTRANGE(""https://docs.google.com/spreadsheets/d/1C3CXT74ZlgGe6_JY_1olB1XN4rF0dxEuIIF-xsYjHgg/edit?usp=sharing"",""งบกองทุน!ai78"")"),50)</f>
        <v>50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IFERROR(__xludf.DUMMYFUNCTION("IMPORTRANGE(""https://docs.google.com/spreadsheets/d/1C3CXT74ZlgGe6_JY_1olB1XN4rF0dxEuIIF-xsYjHgg/edit?usp=sharing"",""งบกองทุน!ah78"")"),150)</f>
        <v>150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IFERROR(__xludf.DUMMYFUNCTION("IMPORTRANGE(""https://docs.google.com/spreadsheets/d/1C3CXT74ZlgGe6_JY_1olB1XN4rF0dxEuIIF-xsYjHgg/edit?usp=sharing"",""งบกองทุน!aj78"")"),50)</f>
        <v>50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IFERROR(__xludf.DUMMYFUNCTION("IMPORTRANGE(""https://docs.google.com/spreadsheets/d/1C3CXT74ZlgGe6_JY_1olB1XN4rF0dxEuIIF-xsYjHgg/edit?usp=sharing"",""งบกองทุน!ak78"")"),50)</f>
        <v>50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IFERROR(__xludf.DUMMYFUNCTION("IMPORTRANGE(""https://docs.google.com/spreadsheets/d/1C3CXT74ZlgGe6_JY_1olB1XN4rF0dxEuIIF-xsYjHgg/edit?usp=sharing"",""งบกองทุน!al78"")"),50)</f>
        <v>50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IFERROR(__xludf.DUMMYFUNCTION("IMPORTRANGE(""https://docs.google.com/spreadsheets/d/1C3CXT74ZlgGe6_JY_1olB1XN4rF0dxEuIIF-xsYjHgg/edit?usp=sharing"",""งบกองทุน!an78"")"),10)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IFERROR(__xludf.DUMMYFUNCTION("IMPORTRANGE(""https://docs.google.com/spreadsheets/d/1C3CXT74ZlgGe6_JY_1olB1XN4rF0dxEuIIF-xsYjHgg/edit?usp=sharing"",""งบกองทุน!am78"")"),30)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IFERROR(__xludf.DUMMYFUNCTION("IMPORTRANGE(""https://docs.google.com/spreadsheets/d/1C3CXT74ZlgGe6_JY_1olB1XN4rF0dxEuIIF-xsYjHgg/edit?usp=sharing"",""งบกองทุน!ao78"")"),10)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IFERROR(__xludf.DUMMYFUNCTION("IMPORTRANGE(""https://docs.google.com/spreadsheets/d/1C3CXT74ZlgGe6_JY_1olB1XN4rF0dxEuIIF-xsYjHgg/edit?usp=sharing"",""งบกองทุน!ap78"")"),10)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50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IFERROR(__xludf.DUMMYFUNCTION("IMPORTRANGE(""https://docs.google.com/spreadsheets/d/1C3CXT74ZlgGe6_JY_1olB1XN4rF0dxEuIIF-xsYjHgg/edit?usp=sharing"",""งบกองทุน!ar78"")"),0)</f>
        <v>0</v>
      </c>
      <c r="J326" s="365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IFERROR(__xludf.DUMMYFUNCTION("IMPORTRANGE(""https://docs.google.com/spreadsheets/d/1C3CXT74ZlgGe6_JY_1olB1XN4rF0dxEuIIF-xsYjHgg/edit?usp=sharing"",""งบกองทุน!as78"")"),50)</f>
        <v>50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45</v>
      </c>
      <c r="J330" s="257">
        <f>+J344</f>
        <v>1</v>
      </c>
      <c r="K330" s="258">
        <f ca="1">IF(I330&gt;0,J330*100/I330,0)</f>
        <v>2.2222222222222223</v>
      </c>
      <c r="L330" s="259">
        <f t="shared" ref="L330:M330" ca="1" si="74">SUM(L331:L332)</f>
        <v>143500</v>
      </c>
      <c r="M330" s="259">
        <f t="shared" si="74"/>
        <v>35200</v>
      </c>
      <c r="N330" s="259">
        <f t="shared" ref="N330:N334" ca="1" si="75">+IF(L330&gt;0,M330*100/L330,0)</f>
        <v>24.529616724738677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143500</v>
      </c>
      <c r="M332" s="52">
        <f t="shared" si="76"/>
        <v>35200</v>
      </c>
      <c r="N332" s="52">
        <f t="shared" ca="1" si="75"/>
        <v>24.529616724738677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IFERROR(__xludf.DUMMYFUNCTION("IMPORTRANGE(""https://docs.google.com/spreadsheets/d/1C3CXT74ZlgGe6_JY_1olB1XN4rF0dxEuIIF-xsYjHgg/edit?usp=sharing"",""งบกองทุน!au78"")"),0)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IFERROR(__xludf.DUMMYFUNCTION("IMPORTRANGE(""https://docs.google.com/spreadsheets/d/1C3CXT74ZlgGe6_JY_1olB1XN4rF0dxEuIIF-xsYjHgg/edit?usp=sharing"",""งบกองทุน!av78"")"),143500)</f>
        <v>143500</v>
      </c>
      <c r="M334" s="52">
        <f>SUM(M335:M338)</f>
        <v>35200</v>
      </c>
      <c r="N334" s="52">
        <f t="shared" ca="1" si="75"/>
        <v>24.529616724738677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35200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45</v>
      </c>
      <c r="J344" s="78">
        <f t="shared" si="77"/>
        <v>1</v>
      </c>
      <c r="K344" s="48">
        <f t="shared" ref="K344:K347" ca="1" si="78">IF(I344&gt;0,J344*100/I344,0)</f>
        <v>2.2222222222222223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IFERROR(__xludf.DUMMYFUNCTION("IMPORTRANGE(""https://docs.google.com/spreadsheets/d/1C3CXT74ZlgGe6_JY_1olB1XN4rF0dxEuIIF-xsYjHgg/edit?usp=sharing"",""งบกองทุน!ay78"")"),15)</f>
        <v>15</v>
      </c>
      <c r="J345" s="67">
        <v>1</v>
      </c>
      <c r="K345" s="48">
        <f t="shared" ca="1" si="78"/>
        <v>6.666666666666667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IFERROR(__xludf.DUMMYFUNCTION("IMPORTRANGE(""https://docs.google.com/spreadsheets/d/1C3CXT74ZlgGe6_JY_1olB1XN4rF0dxEuIIF-xsYjHgg/edit?usp=sharing"",""งบกองทุน!az78"")"),30)</f>
        <v>30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IFERROR(__xludf.DUMMYFUNCTION("IMPORTRANGE(""https://docs.google.com/spreadsheets/d/1C3CXT74ZlgGe6_JY_1olB1XN4rF0dxEuIIF-xsYjHgg/edit?usp=sharing"",""งบกองทุน!Ba78"")"),0)</f>
        <v>0</v>
      </c>
      <c r="J347" s="67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35175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473295</v>
      </c>
      <c r="M350" s="228">
        <f t="shared" si="79"/>
        <v>10838.73</v>
      </c>
      <c r="N350" s="228">
        <f t="shared" ref="N350:N354" ca="1" si="80">+IF(L350&gt;0,M350*100/L350,0)</f>
        <v>2.2900579976547397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473295</v>
      </c>
      <c r="M352" s="52">
        <f t="shared" si="81"/>
        <v>10838.73</v>
      </c>
      <c r="N352" s="52">
        <f t="shared" ca="1" si="80"/>
        <v>2.2900579976547397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IFERROR(__xludf.DUMMYFUNCTION("IMPORTRANGE(""https://docs.google.com/spreadsheets/d/1C3CXT74ZlgGe6_JY_1olB1XN4rF0dxEuIIF-xsYjHgg/edit?usp=sharing"",""งบกองทุน!Bc78"")"),0)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IFERROR(__xludf.DUMMYFUNCTION("IMPORTRANGE(""https://docs.google.com/spreadsheets/d/1C3CXT74ZlgGe6_JY_1olB1XN4rF0dxEuIIF-xsYjHgg/edit?usp=sharing"",""งบกองทุน!Bd78"")"),473295)</f>
        <v>473295</v>
      </c>
      <c r="M354" s="52">
        <f>SUM(M355:M358)</f>
        <v>10838.73</v>
      </c>
      <c r="N354" s="52">
        <f t="shared" ca="1" si="80"/>
        <v>2.2900579976547397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10838.73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IFERROR(__xludf.DUMMYFUNCTION("IMPORTRANGE(""https://docs.google.com/spreadsheets/d/1C3CXT74ZlgGe6_JY_1olB1XN4rF0dxEuIIF-xsYjHgg/edit?usp=sharing"",""งบกองทุน!BE78"")"),35175)</f>
        <v>35175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IFERROR(__xludf.DUMMYFUNCTION("IMPORTRANGE(""https://docs.google.com/spreadsheets/d/1C3CXT74ZlgGe6_JY_1olB1XN4rF0dxEuIIF-xsYjHgg/edit?usp=sharing"",""งบกองทุน!BE78"")"),35175)</f>
        <v>35175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IFERROR(__xludf.DUMMYFUNCTION("IMPORTRANGE(""https://docs.google.com/spreadsheets/d/1C3CXT74ZlgGe6_JY_1olB1XN4rF0dxEuIIF-xsYjHgg/edit?usp=sharing"",""งบกองทุน!Bf78"")"),5113)</f>
        <v>5113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35175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5113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35175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5113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IFERROR(__xludf.DUMMYFUNCTION("IMPORTRANGE(""https://docs.google.com/spreadsheets/d/1C3CXT74ZlgGe6_JY_1olB1XN4rF0dxEuIIF-xsYjHgg/edit?usp=sharing"",""งบกองทุน!cd78"")"),4259)</f>
        <v>4259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IFERROR(__xludf.DUMMYFUNCTION("IMPORTRANGE(""https://docs.google.com/spreadsheets/d/1C3CXT74ZlgGe6_JY_1olB1XN4rF0dxEuIIF-xsYjHgg/edit?usp=sharing"",""งบกองทุน!cd78"")"),4259)</f>
        <v>4259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IFERROR(__xludf.DUMMYFUNCTION("IMPORTRANGE(""https://docs.google.com/spreadsheets/d/1C3CXT74ZlgGe6_JY_1olB1XN4rF0dxEuIIF-xsYjHgg/edit?usp=sharing"",""งบกองทุน!cc78"")"),318)</f>
        <v>318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IFERROR(__xludf.DUMMYFUNCTION("IMPORTRANGE(""https://docs.google.com/spreadsheets/d/1C3CXT74ZlgGe6_JY_1olB1XN4rF0dxEuIIF-xsYjHgg/edit?usp=sharing"",""งบกองทุน!cz78"")"),0)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IFERROR(__xludf.DUMMYFUNCTION("IMPORTRANGE(""https://docs.google.com/spreadsheets/d/1C3CXT74ZlgGe6_JY_1olB1XN4rF0dxEuIIF-xsYjHgg/edit?usp=sharing"",""งบกองทุน!cz78"")"),0)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IFERROR(__xludf.DUMMYFUNCTION("IMPORTRANGE(""https://docs.google.com/spreadsheets/d/1C3CXT74ZlgGe6_JY_1olB1XN4rF0dxEuIIF-xsYjHgg/edit?usp=sharing"",""งบกองทุน!cy78"")"),0)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IFERROR(__xludf.DUMMYFUNCTION("IMPORTRANGE(""https://docs.google.com/spreadsheets/d/1C3CXT74ZlgGe6_JY_1olB1XN4rF0dxEuIIF-xsYjHgg/edit?usp=sharing"",""งบกองทุน!db78"")"),0)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IFERROR(__xludf.DUMMYFUNCTION("IMPORTRANGE(""https://docs.google.com/spreadsheets/d/1C3CXT74ZlgGe6_JY_1olB1XN4rF0dxEuIIF-xsYjHgg/edit?usp=sharing"",""งบกองทุน!da78"")"),0)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IFERROR(__xludf.DUMMYFUNCTION("IMPORTRANGE(""https://docs.google.com/spreadsheets/d/1C3CXT74ZlgGe6_JY_1olB1XN4rF0dxEuIIF-xsYjHgg/edit?usp=sharing"",""งบกองทุน!dd78"")"),0)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IFERROR(__xludf.DUMMYFUNCTION("IMPORTRANGE(""https://docs.google.com/spreadsheets/d/1C3CXT74ZlgGe6_JY_1olB1XN4rF0dxEuIIF-xsYjHgg/edit?usp=sharing"",""งบกองทุน!dc78"")"),0)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IFERROR(__xludf.DUMMYFUNCTION("IMPORTRANGE(""https://docs.google.com/spreadsheets/d/1C3CXT74ZlgGe6_JY_1olB1XN4rF0dxEuIIF-xsYjHgg/edit?usp=sharing"",""งบกองทุน!df78"")"),0)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IFERROR(__xludf.DUMMYFUNCTION("IMPORTRANGE(""https://docs.google.com/spreadsheets/d/1C3CXT74ZlgGe6_JY_1olB1XN4rF0dxEuIIF-xsYjHgg/edit?usp=sharing"",""งบกองทุน!de78"")"),0)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22</v>
      </c>
      <c r="K426" s="258">
        <f ca="1">IF(I426&gt;0,J426*100/I426,0)</f>
        <v>100</v>
      </c>
      <c r="L426" s="259">
        <f t="shared" ref="L426:M426" ca="1" si="92">SUM(L427:L428)</f>
        <v>34340</v>
      </c>
      <c r="M426" s="259">
        <f t="shared" si="92"/>
        <v>29945</v>
      </c>
      <c r="N426" s="259">
        <f t="shared" ref="N426:N430" ca="1" si="93">+IF(L426&gt;0,M426*100/L426,0)</f>
        <v>87.201514269073968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29945</v>
      </c>
      <c r="N428" s="52">
        <f t="shared" ca="1" si="93"/>
        <v>87.201514269073968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IFERROR(__xludf.DUMMYFUNCTION("IMPORTRANGE(""https://docs.google.com/spreadsheets/d/1C3CXT74ZlgGe6_JY_1olB1XN4rF0dxEuIIF-xsYjHgg/edit?usp=sharing"",""งบกองทุน!dn78"")"),0)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IFERROR(__xludf.DUMMYFUNCTION("IMPORTRANGE(""https://docs.google.com/spreadsheets/d/1C3CXT74ZlgGe6_JY_1olB1XN4rF0dxEuIIF-xsYjHgg/edit?usp=sharing"",""งบกองทุน!do78"")"),34340)</f>
        <v>34340</v>
      </c>
      <c r="M430" s="52">
        <f>SUM(M431:M434)</f>
        <v>29945</v>
      </c>
      <c r="N430" s="52">
        <f t="shared" ca="1" si="93"/>
        <v>87.201514269073968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27945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2000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IFERROR(__xludf.DUMMYFUNCTION("IMPORTRANGE(""https://docs.google.com/spreadsheets/d/1C3CXT74ZlgGe6_JY_1olB1XN4rF0dxEuIIF-xsYjHgg/edit?usp=sharing"",""งบกองทุน!dq78"")"),22)</f>
        <v>22</v>
      </c>
      <c r="J440" s="67">
        <v>22</v>
      </c>
      <c r="K440" s="48">
        <f t="shared" ref="K440:K441" ca="1" si="95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IFERROR(__xludf.DUMMYFUNCTION("IMPORTRANGE(""https://docs.google.com/spreadsheets/d/1C3CXT74ZlgGe6_JY_1olB1XN4rF0dxEuIIF-xsYjHgg/edit?usp=sharing"",""งบกองทุน!dr78"")"),22)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IFERROR(__xludf.DUMMYFUNCTION("IMPORTRANGE(""https://docs.google.com/spreadsheets/d/1C3CXT74ZlgGe6_JY_1olB1XN4rF0dxEuIIF-xsYjHgg/edit?usp=sharing"",""งบกองทุน!dt78"")"),0)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IFERROR(__xludf.DUMMYFUNCTION("IMPORTRANGE(""https://docs.google.com/spreadsheets/d/1C3CXT74ZlgGe6_JY_1olB1XN4rF0dxEuIIF-xsYjHgg/edit?usp=sharing"",""งบกองทุน!du78"")"),0)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IFERROR(__xludf.DUMMYFUNCTION("IMPORTRANGE(""https://docs.google.com/spreadsheets/d/1C3CXT74ZlgGe6_JY_1olB1XN4rF0dxEuIIF-xsYjHgg/edit?usp=sharing"",""งบกองทุน!dw78"")"),0)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IFERROR(__xludf.DUMMYFUNCTION("IMPORTRANGE(""https://docs.google.com/spreadsheets/d/1C3CXT74ZlgGe6_JY_1olB1XN4rF0dxEuIIF-xsYjHgg/edit?usp=sharing"",""งบกองทุน!dx78"")"),0)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IFERROR(__xludf.DUMMYFUNCTION("IMPORTRANGE(""https://docs.google.com/spreadsheets/d/1C3CXT74ZlgGe6_JY_1olB1XN4rF0dxEuIIF-xsYjHgg/edit?usp=sharing"",""งบกองทุน!dy78"")"),0)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IFERROR(__xludf.DUMMYFUNCTION("IMPORTRANGE(""https://docs.google.com/spreadsheets/d/1C3CXT74ZlgGe6_JY_1olB1XN4rF0dxEuIIF-xsYjHgg/edit?usp=sharing"",""งบกองทุน!dz78"")"),0)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900</v>
      </c>
      <c r="J457" s="226">
        <f>+J466</f>
        <v>401</v>
      </c>
      <c r="K457" s="227">
        <f t="shared" ca="1" si="100"/>
        <v>44.555555555555557</v>
      </c>
      <c r="L457" s="228">
        <f t="shared" ref="L457:M457" ca="1" si="101">SUM(L458:L459)</f>
        <v>128080</v>
      </c>
      <c r="M457" s="228">
        <f t="shared" si="101"/>
        <v>10838.73</v>
      </c>
      <c r="N457" s="228">
        <f t="shared" ref="N457:N461" ca="1" si="102">+IF(L457&gt;0,M457*100/L457,0)</f>
        <v>8.4624687695190506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128080</v>
      </c>
      <c r="M459" s="52">
        <f t="shared" si="103"/>
        <v>10838.73</v>
      </c>
      <c r="N459" s="52">
        <f t="shared" ca="1" si="102"/>
        <v>8.4624687695190506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IFERROR(__xludf.DUMMYFUNCTION("IMPORTRANGE(""https://docs.google.com/spreadsheets/d/1C3CXT74ZlgGe6_JY_1olB1XN4rF0dxEuIIF-xsYjHgg/edit?usp=sharing"",""งบกองทุน!Eb78"")"),0)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IFERROR(__xludf.DUMMYFUNCTION("IMPORTRANGE(""https://docs.google.com/spreadsheets/d/1C3CXT74ZlgGe6_JY_1olB1XN4rF0dxEuIIF-xsYjHgg/edit?usp=sharing"",""งบกองทุน!Ec78"")"),128080)</f>
        <v>128080</v>
      </c>
      <c r="M461" s="52">
        <f>SUM(M462:M465)</f>
        <v>10838.73</v>
      </c>
      <c r="N461" s="52">
        <f t="shared" ca="1" si="102"/>
        <v>8.4624687695190506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10838.73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IFERROR(__xludf.DUMMYFUNCTION("IMPORTRANGE(""https://docs.google.com/spreadsheets/d/1C3CXT74ZlgGe6_JY_1olB1XN4rF0dxEuIIF-xsYjHgg/edit?usp=sharing"",""งบกองทุน!Ed78"")"),900)</f>
        <v>900</v>
      </c>
      <c r="J466" s="265">
        <f>+J469+J470+J471+J472</f>
        <v>401</v>
      </c>
      <c r="K466" s="79">
        <f ca="1">IF(I466&gt;0,J466*100/I466,0)</f>
        <v>44.555555555555557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401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80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308380</v>
      </c>
      <c r="M473" s="228">
        <f>SUM(M474:M475)</f>
        <v>10838.73</v>
      </c>
      <c r="N473" s="228">
        <f t="shared" ref="N473:N477" ca="1" si="105">+IF(L473&gt;0,M473*100/L473,0)</f>
        <v>3.5147318243725274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308380</v>
      </c>
      <c r="M475" s="52">
        <f t="shared" si="106"/>
        <v>10838.73</v>
      </c>
      <c r="N475" s="52">
        <f t="shared" ca="1" si="105"/>
        <v>3.5147318243725274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IFERROR(__xludf.DUMMYFUNCTION("IMPORTRANGE(""https://docs.google.com/spreadsheets/d/1C3CXT74ZlgGe6_JY_1olB1XN4rF0dxEuIIF-xsYjHgg/edit?usp=sharing"",""งบกองทุน!Ek78"")"),0)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IFERROR(__xludf.DUMMYFUNCTION("IMPORTRANGE(""https://docs.google.com/spreadsheets/d/1C3CXT74ZlgGe6_JY_1olB1XN4rF0dxEuIIF-xsYjHgg/edit?usp=sharing"",""งบกองทุน!El78"")"),308380)</f>
        <v>308380</v>
      </c>
      <c r="M477" s="52">
        <f>SUM(M478:M481)</f>
        <v>10838.73</v>
      </c>
      <c r="N477" s="52">
        <f t="shared" ca="1" si="105"/>
        <v>3.5147318243725274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3">
        <v>10838.73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3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IFERROR(__xludf.DUMMYFUNCTION("IMPORTRANGE(""https://docs.google.com/spreadsheets/d/1C3CXT74ZlgGe6_JY_1olB1XN4rF0dxEuIIF-xsYjHgg/edit?usp=sharing"",""งบกองทุน!Em78"")"),80)</f>
        <v>80</v>
      </c>
      <c r="J482" s="66">
        <f ca="1">IFERROR(__xludf.DUMMYFUNCTION("IMPORTRANGE(""https://docs.google.com/spreadsheets/d/1AGHcLOeeYFL3K4b9R1dSzyJy00PE_ra89DNTVfnxSWM/edit?usp=sharing"",""รวมที่ชุมชน!G67"")"),12)</f>
        <v>12</v>
      </c>
      <c r="K482" s="48">
        <f t="shared" ref="K482:K489" ca="1" si="107">IF(I482&gt;0,J482*100/I482,0)</f>
        <v>15</v>
      </c>
      <c r="L482" s="60"/>
      <c r="M482" s="60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IFERROR(__xludf.DUMMYFUNCTION("IMPORTRANGE(""https://docs.google.com/spreadsheets/d/1C3CXT74ZlgGe6_JY_1olB1XN4rF0dxEuIIF-xsYjHgg/edit?usp=sharing"",""งบกองทุน!En78"")"),0)</f>
        <v>0</v>
      </c>
      <c r="J483" s="66">
        <f ca="1">IFERROR(__xludf.DUMMYFUNCTION("IMPORTRANGE(""https://docs.google.com/spreadsheets/d/1AGHcLOeeYFL3K4b9R1dSzyJy00PE_ra89DNTVfnxSWM/edit?usp=sharing"",""รวมที่ชุมชน!H67"")"),8.78)</f>
        <v>8.7799999999999994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IFERROR(__xludf.DUMMYFUNCTION("IMPORTRANGE(""https://docs.google.com/spreadsheets/d/1C3CXT74ZlgGe6_JY_1olB1XN4rF0dxEuIIF-xsYjHgg/edit?usp=sharing"",""งบกองทุน!Eo78"")"),80)</f>
        <v>80</v>
      </c>
      <c r="J484" s="66">
        <f ca="1">IFERROR(__xludf.DUMMYFUNCTION("IMPORTRANGE(""https://docs.google.com/spreadsheets/d/1AGHcLOeeYFL3K4b9R1dSzyJy00PE_ra89DNTVfnxSWM/edit?usp=sharing"",""รวมที่ชุมชน!J67"")"),0)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IFERROR(__xludf.DUMMYFUNCTION("IMPORTRANGE(""https://docs.google.com/spreadsheets/d/1C3CXT74ZlgGe6_JY_1olB1XN4rF0dxEuIIF-xsYjHgg/edit?usp=sharing"",""งบกองทุน!Ep78"")"),0)</f>
        <v>0</v>
      </c>
      <c r="J485" s="66">
        <f ca="1">IFERROR(__xludf.DUMMYFUNCTION("IMPORTRANGE(""https://docs.google.com/spreadsheets/d/1AGHcLOeeYFL3K4b9R1dSzyJy00PE_ra89DNTVfnxSWM/edit?usp=sharing"",""รวมที่ชุมชน!L67"")"),0)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IFERROR(__xludf.DUMMYFUNCTION("IMPORTRANGE(""https://docs.google.com/spreadsheets/d/1C3CXT74ZlgGe6_JY_1olB1XN4rF0dxEuIIF-xsYjHgg/edit?usp=sharing"",""งบกองทุน!Eq78"")"),80)</f>
        <v>80</v>
      </c>
      <c r="J486" s="66">
        <f ca="1">IFERROR(__xludf.DUMMYFUNCTION("IMPORTRANGE(""https://docs.google.com/spreadsheets/d/1AGHcLOeeYFL3K4b9R1dSzyJy00PE_ra89DNTVfnxSWM/edit?usp=sharing"",""รวมที่ชุมชน!S67"")"),0)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IFERROR(__xludf.DUMMYFUNCTION("IMPORTRANGE(""https://docs.google.com/spreadsheets/d/1C3CXT74ZlgGe6_JY_1olB1XN4rF0dxEuIIF-xsYjHgg/edit?usp=sharing"",""งบกองทุน!Er78"")"),0)</f>
        <v>0</v>
      </c>
      <c r="J487" s="66">
        <f ca="1">IFERROR(__xludf.DUMMYFUNCTION("IMPORTRANGE(""https://docs.google.com/spreadsheets/d/1AGHcLOeeYFL3K4b9R1dSzyJy00PE_ra89DNTVfnxSWM/edit?usp=sharing"",""รวมที่ชุมชน!U67"")"),0)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IFERROR(__xludf.DUMMYFUNCTION("IMPORTRANGE(""https://docs.google.com/spreadsheets/d/1C3CXT74ZlgGe6_JY_1olB1XN4rF0dxEuIIF-xsYjHgg/edit?usp=sharing"",""งบกองทุน!Es78"")"),80)</f>
        <v>80</v>
      </c>
      <c r="J488" s="66">
        <f ca="1">IFERROR(__xludf.DUMMYFUNCTION("IMPORTRANGE(""https://docs.google.com/spreadsheets/d/1AGHcLOeeYFL3K4b9R1dSzyJy00PE_ra89DNTVfnxSWM/edit?usp=sharing"",""รวมที่ชุมชน!V67"")"),0)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IFERROR(__xludf.DUMMYFUNCTION("IMPORTRANGE(""https://docs.google.com/spreadsheets/d/1C3CXT74ZlgGe6_JY_1olB1XN4rF0dxEuIIF-xsYjHgg/edit?usp=sharing"",""งบกองทุน!Et78"")"),0)</f>
        <v>0</v>
      </c>
      <c r="J489" s="111">
        <f ca="1">IFERROR(__xludf.DUMMYFUNCTION("IMPORTRANGE(""https://docs.google.com/spreadsheets/d/1AGHcLOeeYFL3K4b9R1dSzyJy00PE_ra89DNTVfnxSWM/edit?usp=sharing"",""รวมที่ชุมชน!X67"")"),0)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100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8900</v>
      </c>
      <c r="M490" s="259">
        <f>SUM(M491:M492)</f>
        <v>800</v>
      </c>
      <c r="N490" s="259">
        <f t="shared" ref="N490:N494" ca="1" si="109">+IF(L490&gt;0,M490*100/L490,0)</f>
        <v>8.9887640449438209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8900</v>
      </c>
      <c r="M492" s="52">
        <f t="shared" si="110"/>
        <v>800</v>
      </c>
      <c r="N492" s="52">
        <f t="shared" ca="1" si="109"/>
        <v>8.9887640449438209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IFERROR(__xludf.DUMMYFUNCTION("IMPORTRANGE(""https://docs.google.com/spreadsheets/d/1C3CXT74ZlgGe6_JY_1olB1XN4rF0dxEuIIF-xsYjHgg/edit?usp=sharing"",""งบกองทุน!Ev78"")"),0)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IFERROR(__xludf.DUMMYFUNCTION("IMPORTRANGE(""https://docs.google.com/spreadsheets/d/1C3CXT74ZlgGe6_JY_1olB1XN4rF0dxEuIIF-xsYjHgg/edit?usp=sharing"",""งบกองทุน!Ew78"")"),8900)</f>
        <v>8900</v>
      </c>
      <c r="M494" s="52">
        <f>SUM(M495:M498)</f>
        <v>800</v>
      </c>
      <c r="N494" s="52">
        <f t="shared" ca="1" si="109"/>
        <v>8.9887640449438209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800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IFERROR(__xludf.DUMMYFUNCTION("IMPORTRANGE(""https://docs.google.com/spreadsheets/d/1C3CXT74ZlgGe6_JY_1olB1XN4rF0dxEuIIF-xsYjHgg/edit?usp=sharing"",""งบกองทุน!EZ78"")"),100)</f>
        <v>100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IFERROR(__xludf.DUMMYFUNCTION("IMPORTRANGE(""https://docs.google.com/spreadsheets/d/1C3CXT74ZlgGe6_JY_1olB1XN4rF0dxEuIIF-xsYjHgg/edit?usp=sharing"",""งบกองทุน!ff78"")"),73)</f>
        <v>73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IFERROR(__xludf.DUMMYFUNCTION("IMPORTRANGE(""https://docs.google.com/spreadsheets/d/1muirlRDkqiswvy_NRZ3Yh955hx-PF6_HhssUYiSJj8o/edit?usp=sharing"",""กองทุน!D78"")"),21787479.79)</f>
        <v>21787479.789999999</v>
      </c>
      <c r="J521" s="199">
        <f ca="1">IFERROR(__xludf.DUMMYFUNCTION("IMPORTRANGE(""https://docs.google.com/spreadsheets/d/1muirlRDkqiswvy_NRZ3Yh955hx-PF6_HhssUYiSJj8o/edit?usp=sharing"",""กองทุน!F78"")"),0)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IFERROR(__xludf.DUMMYFUNCTION("IMPORTRANGE(""https://docs.google.com/spreadsheets/d/1muirlRDkqiswvy_NRZ3Yh955hx-PF6_HhssUYiSJj8o/edit?usp=sharing"",""กองทุน!C78"")"),514)</f>
        <v>514</v>
      </c>
      <c r="J522" s="199">
        <f ca="1">IFERROR(__xludf.DUMMYFUNCTION("IMPORTRANGE(""https://docs.google.com/spreadsheets/d/1muirlRDkqiswvy_NRZ3Yh955hx-PF6_HhssUYiSJj8o/edit?usp=sharing"",""กองทุน!E78"")"),0)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IFERROR(__xludf.DUMMYFUNCTION("IMPORTRANGE(""https://docs.google.com/spreadsheets/d/1muirlRDkqiswvy_NRZ3Yh955hx-PF6_HhssUYiSJj8o/edit?usp=sharing"",""กองทุน!I78"")"),3870443.59)</f>
        <v>3870443.59</v>
      </c>
      <c r="J523" s="199">
        <f ca="1">IFERROR(__xludf.DUMMYFUNCTION("IMPORTRANGE(""https://docs.google.com/spreadsheets/d/1muirlRDkqiswvy_NRZ3Yh955hx-PF6_HhssUYiSJj8o/edit?usp=sharing"",""กองทุน!K78"")"),57564.86)</f>
        <v>57564.86</v>
      </c>
      <c r="K523" s="200">
        <f t="shared" ca="1" si="116"/>
        <v>1.4872936050206069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IFERROR(__xludf.DUMMYFUNCTION("IMPORTRANGE(""https://docs.google.com/spreadsheets/d/1muirlRDkqiswvy_NRZ3Yh955hx-PF6_HhssUYiSJj8o/edit?usp=sharing"",""กองทุน!H78"")"),79)</f>
        <v>79</v>
      </c>
      <c r="J524" s="199">
        <f ca="1">IFERROR(__xludf.DUMMYFUNCTION("IMPORTRANGE(""https://docs.google.com/spreadsheets/d/1muirlRDkqiswvy_NRZ3Yh955hx-PF6_HhssUYiSJj8o/edit?usp=sharing"",""กองทุน!J78"")"),22)</f>
        <v>22</v>
      </c>
      <c r="K524" s="200">
        <f t="shared" ca="1" si="116"/>
        <v>27.848101265822784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IFERROR(__xludf.DUMMYFUNCTION("IMPORTRANGE(""https://docs.google.com/spreadsheets/d/1muirlRDkqiswvy_NRZ3Yh955hx-PF6_HhssUYiSJj8o/edit?usp=sharing"",""กองทุน!N78"")"),2331038.08)</f>
        <v>2331038.08</v>
      </c>
      <c r="J525" s="199">
        <f ca="1">IFERROR(__xludf.DUMMYFUNCTION("IMPORTRANGE(""https://docs.google.com/spreadsheets/d/1muirlRDkqiswvy_NRZ3Yh955hx-PF6_HhssUYiSJj8o/edit?usp=sharing"",""กองทุน!P78"")"),94750.48)</f>
        <v>94750.48</v>
      </c>
      <c r="K525" s="200">
        <f t="shared" ca="1" si="116"/>
        <v>4.0647332539501022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IFERROR(__xludf.DUMMYFUNCTION("IMPORTRANGE(""https://docs.google.com/spreadsheets/d/1muirlRDkqiswvy_NRZ3Yh955hx-PF6_HhssUYiSJj8o/edit?usp=sharing"",""กองทุน!M78"")"),528)</f>
        <v>528</v>
      </c>
      <c r="J526" s="199">
        <f ca="1">IFERROR(__xludf.DUMMYFUNCTION("IMPORTRANGE(""https://docs.google.com/spreadsheets/d/1muirlRDkqiswvy_NRZ3Yh955hx-PF6_HhssUYiSJj8o/edit?usp=sharing"",""กองทุน!O78"")"),34)</f>
        <v>34</v>
      </c>
      <c r="K526" s="200">
        <f t="shared" ca="1" si="116"/>
        <v>6.4393939393939394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IFERROR(__xludf.DUMMYFUNCTION("IMPORTRANGE(""https://docs.google.com/spreadsheets/d/1muirlRDkqiswvy_NRZ3Yh955hx-PF6_HhssUYiSJj8o/edit?usp=sharing"",""กองทุน!S78"")"),22940000)</f>
        <v>22940000</v>
      </c>
      <c r="J527" s="199">
        <f ca="1">IFERROR(__xludf.DUMMYFUNCTION("IMPORTRANGE(""https://docs.google.com/spreadsheets/d/1muirlRDkqiswvy_NRZ3Yh955hx-PF6_HhssUYiSJj8o/edit?usp=sharing"",""กองทุน!U78"")"),0)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IFERROR(__xludf.DUMMYFUNCTION("IMPORTRANGE(""https://docs.google.com/spreadsheets/d/1muirlRDkqiswvy_NRZ3Yh955hx-PF6_HhssUYiSJj8o/edit?usp=sharing"",""กองทุน!R78"")"),568)</f>
        <v>568</v>
      </c>
      <c r="J528" s="324">
        <f ca="1">IFERROR(__xludf.DUMMYFUNCTION("IMPORTRANGE(""https://docs.google.com/spreadsheets/d/1muirlRDkqiswvy_NRZ3Yh955hx-PF6_HhssUYiSJj8o/edit?usp=sharing"",""กองทุน!T78"")"),0)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245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570310</v>
      </c>
      <c r="M6" s="16">
        <f t="shared" si="0"/>
        <v>14000</v>
      </c>
      <c r="N6" s="17">
        <f ca="1">IF(L6&gt;0,M6*100/L6,0)</f>
        <v>2.4548052813382197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66"/>
      <c r="K12" s="232"/>
      <c r="L12" s="52">
        <f ca="1">IFERROR(__xludf.DUMMYFUNCTION("IMPORTRANGE(""https://docs.google.com/spreadsheets/d/1C3CXT74ZlgGe6_JY_1olB1XN4rF0dxEuIIF-xsYjHgg/edit?usp=sharing"",""พรบ!C79"")"),0)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IFERROR(__xludf.DUMMYFUNCTION("IMPORTRANGE(""https://docs.google.com/spreadsheets/d/1C3CXT74ZlgGe6_JY_1olB1XN4rF0dxEuIIF-xsYjHgg/edit?usp=sharing"",""พรบ!D79"")"),0)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IFERROR(__xludf.DUMMYFUNCTION("IMPORTRANGE(""https://docs.google.com/spreadsheets/d/1C3CXT74ZlgGe6_JY_1olB1XN4rF0dxEuIIF-xsYjHgg/edit?usp=sharing"",""พรบ!E79"")"),0)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IFERROR(__xludf.DUMMYFUNCTION("IMPORTRANGE(""https://docs.google.com/spreadsheets/d/1C3CXT74ZlgGe6_JY_1olB1XN4rF0dxEuIIF-xsYjHgg/edit?usp=sharing"",""พรบ!H79"")"),0)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IFERROR(__xludf.DUMMYFUNCTION("IMPORTRANGE(""https://docs.google.com/spreadsheets/d/1C3CXT74ZlgGe6_JY_1olB1XN4rF0dxEuIIF-xsYjHgg/edit?usp=sharing"",""พรบ!I79"")"),0)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IFERROR(__xludf.DUMMYFUNCTION("IMPORTRANGE(""https://docs.google.com/spreadsheets/d/1C3CXT74ZlgGe6_JY_1olB1XN4rF0dxEuIIF-xsYjHgg/edit?usp=sharing"",""พรบ!J79"")"),0)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IFERROR(__xludf.DUMMYFUNCTION("IMPORTRANGE(""https://docs.google.com/spreadsheets/d/1C3CXT74ZlgGe6_JY_1olB1XN4rF0dxEuIIF-xsYjHgg/edit?usp=sharing"",""พรบ!K79"")"),0)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IFERROR(__xludf.DUMMYFUNCTION("IMPORTRANGE(""https://docs.google.com/spreadsheets/d/1C3CXT74ZlgGe6_JY_1olB1XN4rF0dxEuIIF-xsYjHgg/edit?usp=sharing"",""พรบ!L79"")"),0)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IFERROR(__xludf.DUMMYFUNCTION("IMPORTRANGE(""https://docs.google.com/spreadsheets/d/1C3CXT74ZlgGe6_JY_1olB1XN4rF0dxEuIIF-xsYjHgg/edit?usp=sharing"",""พรบ!M79"")"),0)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IFERROR(__xludf.DUMMYFUNCTION("IMPORTRANGE(""https://docs.google.com/spreadsheets/d/1C3CXT74ZlgGe6_JY_1olB1XN4rF0dxEuIIF-xsYjHgg/edit?usp=sharing"",""พรบ!N79"")"),0)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IFERROR(__xludf.DUMMYFUNCTION("IMPORTRANGE(""https://docs.google.com/spreadsheets/d/1C3CXT74ZlgGe6_JY_1olB1XN4rF0dxEuIIF-xsYjHgg/edit?usp=sharing"",""พรบ!O79"")"),0)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IFERROR(__xludf.DUMMYFUNCTION("IMPORTRANGE(""https://docs.google.com/spreadsheets/d/1C3CXT74ZlgGe6_JY_1olB1XN4rF0dxEuIIF-xsYjHgg/edit?usp=sharing"",""พรบ!P79"")"),0)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IFERROR(__xludf.DUMMYFUNCTION("IMPORTRANGE(""https://docs.google.com/spreadsheets/d/1C3CXT74ZlgGe6_JY_1olB1XN4rF0dxEuIIF-xsYjHgg/edit?usp=sharing"",""พรบ!Q79"")"),0)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IFERROR(__xludf.DUMMYFUNCTION("IMPORTRANGE(""https://docs.google.com/spreadsheets/d/1C3CXT74ZlgGe6_JY_1olB1XN4rF0dxEuIIF-xsYjHgg/edit?usp=sharing"",""พรบ!R79"")"),0)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IFERROR(__xludf.DUMMYFUNCTION("IMPORTRANGE(""https://docs.google.com/spreadsheets/d/1C3CXT74ZlgGe6_JY_1olB1XN4rF0dxEuIIF-xsYjHgg/edit?usp=sharing"",""พรบ!S79"")"),0)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IFERROR(__xludf.DUMMYFUNCTION("IMPORTRANGE(""https://docs.google.com/spreadsheets/d/1C3CXT74ZlgGe6_JY_1olB1XN4rF0dxEuIIF-xsYjHgg/edit?usp=sharing"",""พรบ!T79"")"),0)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IFERROR(__xludf.DUMMYFUNCTION("IMPORTRANGE(""https://docs.google.com/spreadsheets/d/1C3CXT74ZlgGe6_JY_1olB1XN4rF0dxEuIIF-xsYjHgg/edit?usp=sharing"",""พรบ!U79"")"),0)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IFERROR(__xludf.DUMMYFUNCTION("IMPORTRANGE(""https://docs.google.com/spreadsheets/d/1C3CXT74ZlgGe6_JY_1olB1XN4rF0dxEuIIF-xsYjHgg/edit?usp=sharing"",""พรบ!V79"")"),0)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IFERROR(__xludf.DUMMYFUNCTION("IMPORTRANGE(""https://docs.google.com/spreadsheets/d/1C3CXT74ZlgGe6_JY_1olB1XN4rF0dxEuIIF-xsYjHgg/edit?usp=sharing"",""พรบ!W79"")"),0)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IFERROR(__xludf.DUMMYFUNCTION("IMPORTRANGE(""https://docs.google.com/spreadsheets/d/1C3CXT74ZlgGe6_JY_1olB1XN4rF0dxEuIIF-xsYjHgg/edit?usp=sharing"",""พรบ!Y79"")"),0)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IFERROR(__xludf.DUMMYFUNCTION("IMPORTRANGE(""https://docs.google.com/spreadsheets/d/1C3CXT74ZlgGe6_JY_1olB1XN4rF0dxEuIIF-xsYjHgg/edit?usp=sharing"",""พรบ!Z79"")"),0)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IFERROR(__xludf.DUMMYFUNCTION("IMPORTRANGE(""https://docs.google.com/spreadsheets/d/1C3CXT74ZlgGe6_JY_1olB1XN4rF0dxEuIIF-xsYjHgg/edit?usp=sharing"",""พรบ!AA79"")"),0)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28400</v>
      </c>
      <c r="M68" s="138">
        <f t="shared" si="16"/>
        <v>14000</v>
      </c>
      <c r="N68" s="137">
        <f ca="1">IF(L68&gt;0,M68*100/L68,0)</f>
        <v>49.29577464788732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28400</v>
      </c>
      <c r="M71" s="139">
        <f>SUM(M72:M73)</f>
        <v>14000</v>
      </c>
      <c r="N71" s="49">
        <f t="shared" ca="1" si="17"/>
        <v>49.29577464788732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IFERROR(__xludf.DUMMYFUNCTION("IMPORTRANGE(""https://docs.google.com/spreadsheets/d/1C3CXT74ZlgGe6_JY_1olB1XN4rF0dxEuIIF-xsYjHgg/edit?usp=sharing"",""พรบ!AD79"")"),0)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28400</v>
      </c>
      <c r="M73" s="52">
        <f t="shared" si="18"/>
        <v>14000</v>
      </c>
      <c r="N73" s="52">
        <f t="shared" ca="1" si="17"/>
        <v>49.29577464788732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IFERROR(__xludf.DUMMYFUNCTION("IMPORTRANGE(""https://docs.google.com/spreadsheets/d/1C3CXT74ZlgGe6_JY_1olB1XN4rF0dxEuIIF-xsYjHgg/edit?usp=sharing"",""พรบ!AF79"")"),7500)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IFERROR(__xludf.DUMMYFUNCTION("IMPORTRANGE(""https://docs.google.com/spreadsheets/d/1C3CXT74ZlgGe6_JY_1olB1XN4rF0dxEuIIF-xsYjHgg/edit?usp=sharing"",""พรบ!AG79"")"),4)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1</v>
      </c>
      <c r="K89" s="150">
        <f ca="1">IF(I89&gt;0,J89*100/I89,0)</f>
        <v>100</v>
      </c>
      <c r="L89" s="147">
        <f ca="1">L90+L91</f>
        <v>14000</v>
      </c>
      <c r="M89" s="147">
        <f>SUM(M90:M91)</f>
        <v>14000</v>
      </c>
      <c r="N89" s="147">
        <f t="shared" ref="N89:N92" ca="1" si="22">+IF(L89&gt;0,M89*100/L89,0)</f>
        <v>100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14000</v>
      </c>
      <c r="N91" s="49">
        <f t="shared" ca="1" si="22"/>
        <v>100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IFERROR(__xludf.DUMMYFUNCTION("IMPORTRANGE(""https://docs.google.com/spreadsheets/d/1C3CXT74ZlgGe6_JY_1olB1XN4rF0dxEuIIF-xsYjHgg/edit?usp=sharing"",""พรบ!AH79"")"),14000)</f>
        <v>14000</v>
      </c>
      <c r="M92" s="53">
        <v>14000</v>
      </c>
      <c r="N92" s="52">
        <f t="shared" ca="1" si="22"/>
        <v>100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IFERROR(__xludf.DUMMYFUNCTION("IMPORTRANGE(""https://docs.google.com/spreadsheets/d/1C3CXT74ZlgGe6_JY_1olB1XN4rF0dxEuIIF-xsYjHgg/edit?usp=sharing"",""พรบ!AI79"")"),1)</f>
        <v>1</v>
      </c>
      <c r="J98" s="67">
        <v>1</v>
      </c>
      <c r="K98" s="48">
        <f ca="1">IF(I98&gt;0,J98*100/I98,0)</f>
        <v>100</v>
      </c>
      <c r="L98" s="52">
        <f ca="1">IFERROR(__xludf.DUMMYFUNCTION("IMPORTRANGE(""https://docs.google.com/spreadsheets/d/1C3CXT74ZlgGe6_JY_1olB1XN4rF0dxEuIIF-xsYjHgg/edit?usp=sharing"",""กปร!C79"")"),12000)</f>
        <v>12000</v>
      </c>
      <c r="M98" s="361">
        <v>12000</v>
      </c>
      <c r="N98" s="52">
        <f ca="1">+IF(L98&gt;0,M98*100/L98,0)</f>
        <v>100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66"/>
      <c r="J104" s="66"/>
      <c r="K104" s="232"/>
      <c r="L104" s="52">
        <f ca="1">IFERROR(__xludf.DUMMYFUNCTION("IMPORTRANGE(""https://docs.google.com/spreadsheets/d/1C3CXT74ZlgGe6_JY_1olB1XN4rF0dxEuIIF-xsYjHgg/edit?usp=sharing"",""พรบ!AJ79"")"),0)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66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IFERROR(__xludf.DUMMYFUNCTION("IMPORTRANGE(""https://docs.google.com/spreadsheets/d/1C3CXT74ZlgGe6_JY_1olB1XN4rF0dxEuIIF-xsYjHgg/edit?usp=sharing"",""พรบ!AK79"")"),0)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IFERROR(__xludf.DUMMYFUNCTION("IMPORTRANGE(""https://docs.google.com/spreadsheets/d/1C3CXT74ZlgGe6_JY_1olB1XN4rF0dxEuIIF-xsYjHgg/edit?usp=sharing"",""กปร!D79"")"),0)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IFERROR(__xludf.DUMMYFUNCTION("IMPORTRANGE(""https://docs.google.com/spreadsheets/d/1C3CXT74ZlgGe6_JY_1olB1XN4rF0dxEuIIF-xsYjHgg/edit?usp=sharing"",""พรบ!AL79"")"),0)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IFERROR(__xludf.DUMMYFUNCTION("IMPORTRANGE(""https://docs.google.com/spreadsheets/d/1C3CXT74ZlgGe6_JY_1olB1XN4rF0dxEuIIF-xsYjHgg/edit?usp=sharing"",""กปร!E79"")"),0)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5000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6900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6900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IFERROR(__xludf.DUMMYFUNCTION("IMPORTRANGE(""https://docs.google.com/spreadsheets/d/1C3CXT74ZlgGe6_JY_1olB1XN4rF0dxEuIIF-xsYjHgg/edit?usp=sharing"",""พรบ!AM79"")"),6900)</f>
        <v>6900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1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IFERROR(__xludf.DUMMYFUNCTION("IMPORTRANGE(""https://docs.google.com/spreadsheets/d/1C3CXT74ZlgGe6_JY_1olB1XN4rF0dxEuIIF-xsYjHgg/edit?usp=sharing"",""พรบ!AO79"")"),5000)</f>
        <v>5000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IFERROR(__xludf.DUMMYFUNCTION("IMPORTRANGE(""https://docs.google.com/spreadsheets/d/1C3CXT74ZlgGe6_JY_1olB1XN4rF0dxEuIIF-xsYjHgg/edit?usp=sharing"",""พรบ!AP79"")"),5000)</f>
        <v>5000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IFERROR(__xludf.DUMMYFUNCTION("IMPORTRANGE(""https://docs.google.com/spreadsheets/d/1C3CXT74ZlgGe6_JY_1olB1XN4rF0dxEuIIF-xsYjHgg/edit?usp=sharing"",""กปร!F79"")"),2900)</f>
        <v>2900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IFERROR(__xludf.DUMMYFUNCTION("IMPORTRANGE(""https://docs.google.com/spreadsheets/d/1C3CXT74ZlgGe6_JY_1olB1XN4rF0dxEuIIF-xsYjHgg/edit?usp=sharing"",""พรบ!AQ79"")"),0)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IFERROR(__xludf.DUMMYFUNCTION("IMPORTRANGE(""https://docs.google.com/spreadsheets/d/1C3CXT74ZlgGe6_JY_1olB1XN4rF0dxEuIIF-xsYjHgg/edit?usp=sharing"",""กปร!G79"")"),0)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IFERROR(__xludf.DUMMYFUNCTION("IMPORTRANGE(""https://docs.google.com/spreadsheets/d/1C3CXT74ZlgGe6_JY_1olB1XN4rF0dxEuIIF-xsYjHgg/edit?usp=sharing"",""พรบ!AR79"")"),0)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IFERROR(__xludf.DUMMYFUNCTION("IMPORTRANGE(""https://docs.google.com/spreadsheets/d/1C3CXT74ZlgGe6_JY_1olB1XN4rF0dxEuIIF-xsYjHgg/edit?usp=sharing"",""พรบ!AS79"")"),0)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IFERROR(__xludf.DUMMYFUNCTION("IMPORTRANGE(""https://docs.google.com/spreadsheets/d/1C3CXT74ZlgGe6_JY_1olB1XN4rF0dxEuIIF-xsYjHgg/edit?usp=sharing"",""กปร!H79"")"),0)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IFERROR(__xludf.DUMMYFUNCTION("IMPORTRANGE(""https://docs.google.com/spreadsheets/d/1C3CXT74ZlgGe6_JY_1olB1XN4rF0dxEuIIF-xsYjHgg/edit?usp=sharing"",""พรบ!AT79"")"),0)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IFERROR(__xludf.DUMMYFUNCTION("IMPORTRANGE(""https://docs.google.com/spreadsheets/d/1C3CXT74ZlgGe6_JY_1olB1XN4rF0dxEuIIF-xsYjHgg/edit?usp=sharing"",""กปร!I79"")"),0)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IFERROR(__xludf.DUMMYFUNCTION("IMPORTRANGE(""https://docs.google.com/spreadsheets/d/1C3CXT74ZlgGe6_JY_1olB1XN4rF0dxEuIIF-xsYjHgg/edit?usp=sharing"",""พรบ!AU79"")"),0)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IFERROR(__xludf.DUMMYFUNCTION("IMPORTRANGE(""https://docs.google.com/spreadsheets/d/1C3CXT74ZlgGe6_JY_1olB1XN4rF0dxEuIIF-xsYjHgg/edit?usp=sharing"",""กปร!J79"")"),0)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0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IFERROR(__xludf.DUMMYFUNCTION("IMPORTRANGE(""https://docs.google.com/spreadsheets/d/1C3CXT74ZlgGe6_JY_1olB1XN4rF0dxEuIIF-xsYjHgg/edit?usp=sharing"",""พรบ!AY79"")"),0)</f>
        <v>0</v>
      </c>
      <c r="M148" s="52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0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6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6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6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6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IFERROR(__xludf.DUMMYFUNCTION("IMPORTRANGE(""https://docs.google.com/spreadsheets/d/1C3CXT74ZlgGe6_JY_1olB1XN4rF0dxEuIIF-xsYjHgg/edit?usp=sharing"",""พรบ!BA79"")"),0)</f>
        <v>0</v>
      </c>
      <c r="J155" s="66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6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356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IFERROR(__xludf.DUMMYFUNCTION("IMPORTRANGE(""https://docs.google.com/spreadsheets/d/1C3CXT74ZlgGe6_JY_1olB1XN4rF0dxEuIIF-xsYjHgg/edit?usp=sharing"",""พรบ!BD79"")"),0)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IFERROR(__xludf.DUMMYFUNCTION("IMPORTRANGE(""https://docs.google.com/spreadsheets/d/1C3CXT74ZlgGe6_JY_1olB1XN4rF0dxEuIIF-xsYjHgg/edit?usp=sharing"",""พรบ!BE79"")"),0)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IFERROR(__xludf.DUMMYFUNCTION("IMPORTRANGE(""https://docs.google.com/spreadsheets/d/1C3CXT74ZlgGe6_JY_1olB1XN4rF0dxEuIIF-xsYjHgg/edit?usp=sharing"",""พรบ!BF79"")"),0)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IFERROR(__xludf.DUMMYFUNCTION("IMPORTRANGE(""https://docs.google.com/spreadsheets/d/1C3CXT74ZlgGe6_JY_1olB1XN4rF0dxEuIIF-xsYjHgg/edit?usp=sharing"",""พรบ!BG79"")"),0)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IFERROR(__xludf.DUMMYFUNCTION("IMPORTRANGE(""https://docs.google.com/spreadsheets/d/1C3CXT74ZlgGe6_JY_1olB1XN4rF0dxEuIIF-xsYjHgg/edit?usp=sharing"",""พรบ!BH79"")"),0)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IFERROR(__xludf.DUMMYFUNCTION("IMPORTRANGE(""https://docs.google.com/spreadsheets/d/1C3CXT74ZlgGe6_JY_1olB1XN4rF0dxEuIIF-xsYjHgg/edit?usp=sharing"",""พรบ!BI79"")"),0)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IFERROR(__xludf.DUMMYFUNCTION("IMPORTRANGE(""https://docs.google.com/spreadsheets/d/1C3CXT74ZlgGe6_JY_1olB1XN4rF0dxEuIIF-xsYjHgg/edit?usp=sharing"",""พรบ!BK79"")"),0)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IFERROR(__xludf.DUMMYFUNCTION("IMPORTRANGE(""https://docs.google.com/spreadsheets/d/1C3CXT74ZlgGe6_JY_1olB1XN4rF0dxEuIIF-xsYjHgg/edit?usp=sharing"",""พรบ!BL79"")"),0)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IFERROR(__xludf.DUMMYFUNCTION("IMPORTRANGE(""https://docs.google.com/spreadsheets/d/1C3CXT74ZlgGe6_JY_1olB1XN4rF0dxEuIIF-xsYjHgg/edit?usp=sharing"",""พรบ!BM79"")"),0)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IFERROR(__xludf.DUMMYFUNCTION("IMPORTRANGE(""https://docs.google.com/spreadsheets/d/1C3CXT74ZlgGe6_JY_1olB1XN4rF0dxEuIIF-xsYjHgg/edit?usp=sharing"",""พรบ!BP79"")"),0)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IFERROR(__xludf.DUMMYFUNCTION("IMPORTRANGE(""https://docs.google.com/spreadsheets/d/1C3CXT74ZlgGe6_JY_1olB1XN4rF0dxEuIIF-xsYjHgg/edit?usp=sharing"",""พรบ!BQ79"")"),0)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IFERROR(__xludf.DUMMYFUNCTION("IMPORTRANGE(""https://docs.google.com/spreadsheets/d/1C3CXT74ZlgGe6_JY_1olB1XN4rF0dxEuIIF-xsYjHgg/edit?usp=sharing"",""พรบ!BR79"")"),0)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IFERROR(__xludf.DUMMYFUNCTION("IMPORTRANGE(""https://docs.google.com/spreadsheets/d/1C3CXT74ZlgGe6_JY_1olB1XN4rF0dxEuIIF-xsYjHgg/edit?usp=sharing"",""พรบ!BU79"")"),0)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IFERROR(__xludf.DUMMYFUNCTION("IMPORTRANGE(""https://docs.google.com/spreadsheets/d/1C3CXT74ZlgGe6_JY_1olB1XN4rF0dxEuIIF-xsYjHgg/edit?usp=sharing"",""พรบ!BV79"")"),0)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541910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541910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IFERROR(__xludf.DUMMYFUNCTION("IMPORTRANGE(""https://docs.google.com/spreadsheets/d/1C3CXT74ZlgGe6_JY_1olB1XN4rF0dxEuIIF-xsYjHgg/edit?usp=sharing"",""พรบ!BX79"")"),493800)</f>
        <v>493800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IFERROR(__xludf.DUMMYFUNCTION("IMPORTRANGE(""https://docs.google.com/spreadsheets/d/1C3CXT74ZlgGe6_JY_1olB1XN4rF0dxEuIIF-xsYjHgg/edit?usp=sharing"",""พรบ!BY79"")"),48110)</f>
        <v>48110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IFERROR(__xludf.DUMMYFUNCTION("IMPORTRANGE(""https://docs.google.com/spreadsheets/d/1AGHcLOeeYFL3K4b9R1dSzyJy00PE_ra89DNTVfnxSWM/edit?usp=sharing"",""รวมที่ทำกิน!J68"")"),0)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IFERROR(__xludf.DUMMYFUNCTION("IMPORTRANGE(""https://docs.google.com/spreadsheets/d/1C3CXT74ZlgGe6_JY_1olB1XN4rF0dxEuIIF-xsYjHgg/edit?usp=sharing"",""พรบ!BZ79"")"),0)</f>
        <v>0</v>
      </c>
      <c r="J235" s="66">
        <f ca="1">IFERROR(__xludf.DUMMYFUNCTION("IMPORTRANGE(""https://docs.google.com/spreadsheets/d/1AGHcLOeeYFL3K4b9R1dSzyJy00PE_ra89DNTVfnxSWM/edit?usp=sharing"",""รวมที่ทำกิน!L68"")"),0)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IFERROR(__xludf.DUMMYFUNCTION("IMPORTRANGE(""https://docs.google.com/spreadsheets/d/1C3CXT74ZlgGe6_JY_1olB1XN4rF0dxEuIIF-xsYjHgg/edit?usp=sharing"",""พรบ!CA79"")"),0)</f>
        <v>0</v>
      </c>
      <c r="J236" s="66">
        <f ca="1">IFERROR(__xludf.DUMMYFUNCTION("IMPORTRANGE(""https://docs.google.com/spreadsheets/d/1AGHcLOeeYFL3K4b9R1dSzyJy00PE_ra89DNTVfnxSWM/edit?usp=sharing"",""รวมที่ทำกิน!O68"")"),0)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IFERROR(__xludf.DUMMYFUNCTION("IMPORTRANGE(""https://docs.google.com/spreadsheets/d/1AGHcLOeeYFL3K4b9R1dSzyJy00PE_ra89DNTVfnxSWM/edit?usp=sharing"",""รวมที่ทำกิน!Q68"")"),0)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IFERROR(__xludf.DUMMYFUNCTION("IMPORTRANGE(""https://docs.google.com/spreadsheets/d/1C3CXT74ZlgGe6_JY_1olB1XN4rF0dxEuIIF-xsYjHgg/edit?usp=sharing"",""พรบ!CB79"")"),0)</f>
        <v>0</v>
      </c>
      <c r="J238" s="66">
        <f ca="1">IFERROR(__xludf.DUMMYFUNCTION("IMPORTRANGE(""https://docs.google.com/spreadsheets/d/1AGHcLOeeYFL3K4b9R1dSzyJy00PE_ra89DNTVfnxSWM/edit?usp=sharing"",""รวมที่ทำกิน!S68"")"),0)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IFERROR(__xludf.DUMMYFUNCTION("IMPORTRANGE(""https://docs.google.com/spreadsheets/d/1AGHcLOeeYFL3K4b9R1dSzyJy00PE_ra89DNTVfnxSWM/edit?usp=sharing"",""รวมที่ทำกิน!U68"")"),0)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IFERROR(__xludf.DUMMYFUNCTION("IMPORTRANGE(""https://docs.google.com/spreadsheets/d/1C3CXT74ZlgGe6_JY_1olB1XN4rF0dxEuIIF-xsYjHgg/edit?usp=sharing"",""พรบ!CC79"")"),0)</f>
        <v>0</v>
      </c>
      <c r="J240" s="66">
        <f ca="1">IFERROR(__xludf.DUMMYFUNCTION("IMPORTRANGE(""https://docs.google.com/spreadsheets/d/1AGHcLOeeYFL3K4b9R1dSzyJy00PE_ra89DNTVfnxSWM/edit?usp=sharing"",""รวมที่ทำกิน!W68"")"),0)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IFERROR(__xludf.DUMMYFUNCTION("IMPORTRANGE(""https://docs.google.com/spreadsheets/d/1AGHcLOeeYFL3K4b9R1dSzyJy00PE_ra89DNTVfnxSWM/edit?usp=sharing"",""รวมที่ทำกิน!Y68"")"),0)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324940</v>
      </c>
      <c r="M242" s="213">
        <f t="shared" si="53"/>
        <v>33986</v>
      </c>
      <c r="N242" s="213">
        <f ca="1">+IF(L242&gt;0,M242*100/L242,0)</f>
        <v>10.459161691389179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30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69720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10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69720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IFERROR(__xludf.DUMMYFUNCTION("IMPORTRANGE(""https://docs.google.com/spreadsheets/d/1C3CXT74ZlgGe6_JY_1olB1XN4rF0dxEuIIF-xsYjHgg/edit?usp=sharing"",""งบกองทุน!d79"")"),0)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IFERROR(__xludf.DUMMYFUNCTION("IMPORTRANGE(""https://docs.google.com/spreadsheets/d/1C3CXT74ZlgGe6_JY_1olB1XN4rF0dxEuIIF-xsYjHgg/edit?usp=sharing"",""งบกองทุน!e79"")"),69720)</f>
        <v>69720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1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IFERROR(__xludf.DUMMYFUNCTION("IMPORTRANGE(""https://docs.google.com/spreadsheets/d/1C3CXT74ZlgGe6_JY_1olB1XN4rF0dxEuIIF-xsYjHgg/edit?usp=sharing"",""งบกองทุน!f79"")"),0)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30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IFERROR(__xludf.DUMMYFUNCTION("IMPORTRANGE(""https://docs.google.com/spreadsheets/d/1C3CXT74ZlgGe6_JY_1olB1XN4rF0dxEuIIF-xsYjHgg/edit?usp=sharing"",""งบกองทุน!H79"")"),10)</f>
        <v>10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IFERROR(__xludf.DUMMYFUNCTION("IMPORTRANGE(""https://docs.google.com/spreadsheets/d/1C3CXT74ZlgGe6_JY_1olB1XN4rF0dxEuIIF-xsYjHgg/edit?usp=sharing"",""งบกองทุน!i79"")"),0)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10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IFERROR(__xludf.DUMMYFUNCTION("IMPORTRANGE(""https://docs.google.com/spreadsheets/d/1C3CXT74ZlgGe6_JY_1olB1XN4rF0dxEuIIF-xsYjHgg/edit?usp=sharing"",""งบกองทุน!k79"")"),30)</f>
        <v>30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10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IFERROR(__xludf.DUMMYFUNCTION("IMPORTRANGE(""https://docs.google.com/spreadsheets/d/1C3CXT74ZlgGe6_JY_1olB1XN4rF0dxEuIIF-xsYjHgg/edit?usp=sharing"",""งบกองทุน!m79"")"),0)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30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IFERROR(__xludf.DUMMYFUNCTION("IMPORTRANGE(""https://docs.google.com/spreadsheets/d/1C3CXT74ZlgGe6_JY_1olB1XN4rF0dxEuIIF-xsYjHgg/edit?usp=sharing"",""งบกองทุน!o79"")"),30)</f>
        <v>30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IFERROR(__xludf.DUMMYFUNCTION("IMPORTRANGE(""https://docs.google.com/spreadsheets/d/1C3CXT74ZlgGe6_JY_1olB1XN4rF0dxEuIIF-xsYjHgg/edit?usp=sharing"",""งบกองทุน!p79"")"),0)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IFERROR(__xludf.DUMMYFUNCTION("IMPORTRANGE(""https://docs.google.com/spreadsheets/d/1C3CXT74ZlgGe6_JY_1olB1XN4rF0dxEuIIF-xsYjHgg/edit?usp=sharing"",""งบกองทุน!r79"")"),0)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IFERROR(__xludf.DUMMYFUNCTION("IMPORTRANGE(""https://docs.google.com/spreadsheets/d/1C3CXT74ZlgGe6_JY_1olB1XN4rF0dxEuIIF-xsYjHgg/edit?usp=sharing"",""งบกองทุน!s79"")"),0)</f>
        <v>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2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2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2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2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66"/>
      <c r="K285" s="232"/>
      <c r="L285" s="52"/>
      <c r="M285" s="52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6">
        <v>0</v>
      </c>
      <c r="K286" s="232"/>
      <c r="L286" s="52"/>
      <c r="M286" s="52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6">
        <v>0</v>
      </c>
      <c r="K287" s="232"/>
      <c r="L287" s="52" t="s">
        <v>21</v>
      </c>
      <c r="M287" s="52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6">
        <v>0</v>
      </c>
      <c r="K288" s="232"/>
      <c r="L288" s="52"/>
      <c r="M288" s="52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6">
        <v>0</v>
      </c>
      <c r="K289" s="232"/>
      <c r="L289" s="52"/>
      <c r="M289" s="52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232"/>
      <c r="L290" s="52"/>
      <c r="M290" s="52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IFERROR(__xludf.DUMMYFUNCTION("IMPORTRANGE(""https://docs.google.com/spreadsheets/d/1C3CXT74ZlgGe6_JY_1olB1XN4rF0dxEuIIF-xsYjHgg/edit?usp=sharing"",""งบกองทุน!v79"")"),0)</f>
        <v>0</v>
      </c>
      <c r="J291" s="66">
        <v>0</v>
      </c>
      <c r="K291" s="232">
        <f t="shared" ref="K291:K293" ca="1" si="67">IF(I291&gt;0,J291*100/I291,0)</f>
        <v>0</v>
      </c>
      <c r="L291" s="52"/>
      <c r="M291" s="52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IFERROR(__xludf.DUMMYFUNCTION("IMPORTRANGE(""https://docs.google.com/spreadsheets/d/1C3CXT74ZlgGe6_JY_1olB1XN4rF0dxEuIIF-xsYjHgg/edit?usp=sharing"",""งบกองทุน!w79"")"),0)</f>
        <v>0</v>
      </c>
      <c r="J292" s="66">
        <v>0</v>
      </c>
      <c r="K292" s="232">
        <f t="shared" ca="1" si="67"/>
        <v>0</v>
      </c>
      <c r="L292" s="52"/>
      <c r="M292" s="52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IFERROR(__xludf.DUMMYFUNCTION("IMPORTRANGE(""https://docs.google.com/spreadsheets/d/1C3CXT74ZlgGe6_JY_1olB1XN4rF0dxEuIIF-xsYjHgg/edit?usp=sharing"",""งบกองทุน!x79"")"),0)</f>
        <v>0</v>
      </c>
      <c r="J293" s="66">
        <v>0</v>
      </c>
      <c r="K293" s="232">
        <f t="shared" ca="1" si="67"/>
        <v>0</v>
      </c>
      <c r="L293" s="52"/>
      <c r="M293" s="52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6">
        <v>0</v>
      </c>
      <c r="K294" s="232"/>
      <c r="L294" s="52"/>
      <c r="M294" s="52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356">
        <v>0</v>
      </c>
      <c r="K295" s="232"/>
      <c r="L295" s="52"/>
      <c r="M295" s="52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30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31440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10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31440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IFERROR(__xludf.DUMMYFUNCTION("IMPORTRANGE(""https://docs.google.com/spreadsheets/d/1C3CXT74ZlgGe6_JY_1olB1XN4rF0dxEuIIF-xsYjHgg/edit?usp=sharing"",""งบกองทุน!z79"")"),0)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IFERROR(__xludf.DUMMYFUNCTION("IMPORTRANGE(""https://docs.google.com/spreadsheets/d/1C3CXT74ZlgGe6_JY_1olB1XN4rF0dxEuIIF-xsYjHgg/edit?usp=sharing"",""งบกองทุน!aa79"")"),31440)</f>
        <v>31440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10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IFERROR(__xludf.DUMMYFUNCTION("IMPORTRANGE(""https://docs.google.com/spreadsheets/d/1C3CXT74ZlgGe6_JY_1olB1XN4rF0dxEuIIF-xsYjHgg/edit?usp=sharing"",""งบกองทุน!ae79"")"),0)</f>
        <v>0</v>
      </c>
      <c r="J312" s="364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IFERROR(__xludf.DUMMYFUNCTION("IMPORTRANGE(""https://docs.google.com/spreadsheets/d/1C3CXT74ZlgGe6_JY_1olB1XN4rF0dxEuIIF-xsYjHgg/edit?usp=sharing"",""งบกองทุน!ad79"")"),0)</f>
        <v>0</v>
      </c>
      <c r="J313" s="364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IFERROR(__xludf.DUMMYFUNCTION("IMPORTRANGE(""https://docs.google.com/spreadsheets/d/1C3CXT74ZlgGe6_JY_1olB1XN4rF0dxEuIIF-xsYjHgg/edit?usp=sharing"",""งบกองทุน!af79"")"),0)</f>
        <v>0</v>
      </c>
      <c r="J314" s="365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IFERROR(__xludf.DUMMYFUNCTION("IMPORTRANGE(""https://docs.google.com/spreadsheets/d/1C3CXT74ZlgGe6_JY_1olB1XN4rF0dxEuIIF-xsYjHgg/edit?usp=sharing"",""งบกองทุน!ag79"")"),0)</f>
        <v>0</v>
      </c>
      <c r="J315" s="365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IFERROR(__xludf.DUMMYFUNCTION("IMPORTRANGE(""https://docs.google.com/spreadsheets/d/1C3CXT74ZlgGe6_JY_1olB1XN4rF0dxEuIIF-xsYjHgg/edit?usp=sharing"",""งบกองทุน!ai79"")"),0)</f>
        <v>0</v>
      </c>
      <c r="J316" s="364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IFERROR(__xludf.DUMMYFUNCTION("IMPORTRANGE(""https://docs.google.com/spreadsheets/d/1C3CXT74ZlgGe6_JY_1olB1XN4rF0dxEuIIF-xsYjHgg/edit?usp=sharing"",""งบกองทุน!ah79"")"),0)</f>
        <v>0</v>
      </c>
      <c r="J317" s="364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IFERROR(__xludf.DUMMYFUNCTION("IMPORTRANGE(""https://docs.google.com/spreadsheets/d/1C3CXT74ZlgGe6_JY_1olB1XN4rF0dxEuIIF-xsYjHgg/edit?usp=sharing"",""งบกองทุน!aj79"")"),0)</f>
        <v>0</v>
      </c>
      <c r="J318" s="365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IFERROR(__xludf.DUMMYFUNCTION("IMPORTRANGE(""https://docs.google.com/spreadsheets/d/1C3CXT74ZlgGe6_JY_1olB1XN4rF0dxEuIIF-xsYjHgg/edit?usp=sharing"",""งบกองทุน!ak79"")"),0)</f>
        <v>0</v>
      </c>
      <c r="J319" s="365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IFERROR(__xludf.DUMMYFUNCTION("IMPORTRANGE(""https://docs.google.com/spreadsheets/d/1C3CXT74ZlgGe6_JY_1olB1XN4rF0dxEuIIF-xsYjHgg/edit?usp=sharing"",""งบกองทุน!al79"")"),0)</f>
        <v>0</v>
      </c>
      <c r="J320" s="365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IFERROR(__xludf.DUMMYFUNCTION("IMPORTRANGE(""https://docs.google.com/spreadsheets/d/1C3CXT74ZlgGe6_JY_1olB1XN4rF0dxEuIIF-xsYjHgg/edit?usp=sharing"",""งบกองทุน!an79"")"),10)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IFERROR(__xludf.DUMMYFUNCTION("IMPORTRANGE(""https://docs.google.com/spreadsheets/d/1C3CXT74ZlgGe6_JY_1olB1XN4rF0dxEuIIF-xsYjHgg/edit?usp=sharing"",""งบกองทุน!am79"")"),30)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IFERROR(__xludf.DUMMYFUNCTION("IMPORTRANGE(""https://docs.google.com/spreadsheets/d/1C3CXT74ZlgGe6_JY_1olB1XN4rF0dxEuIIF-xsYjHgg/edit?usp=sharing"",""งบกองทุน!ao79"")"),10)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IFERROR(__xludf.DUMMYFUNCTION("IMPORTRANGE(""https://docs.google.com/spreadsheets/d/1C3CXT74ZlgGe6_JY_1olB1XN4rF0dxEuIIF-xsYjHgg/edit?usp=sharing"",""งบกองทุน!ap79"")"),10)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0</v>
      </c>
      <c r="J325" s="364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IFERROR(__xludf.DUMMYFUNCTION("IMPORTRANGE(""https://docs.google.com/spreadsheets/d/1C3CXT74ZlgGe6_JY_1olB1XN4rF0dxEuIIF-xsYjHgg/edit?usp=sharing"",""งบกองทุน!ar79"")"),0)</f>
        <v>0</v>
      </c>
      <c r="J326" s="365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IFERROR(__xludf.DUMMYFUNCTION("IMPORTRANGE(""https://docs.google.com/spreadsheets/d/1C3CXT74ZlgGe6_JY_1olB1XN4rF0dxEuIIF-xsYjHgg/edit?usp=sharing"",""งบกองทุน!as79"")"),0)</f>
        <v>0</v>
      </c>
      <c r="J327" s="365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71000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IFERROR(__xludf.DUMMYFUNCTION("IMPORTRANGE(""https://docs.google.com/spreadsheets/d/1C3CXT74ZlgGe6_JY_1olB1XN4rF0dxEuIIF-xsYjHgg/edit?usp=sharing"",""งบกองทุน!au79"")"),0)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IFERROR(__xludf.DUMMYFUNCTION("IMPORTRANGE(""https://docs.google.com/spreadsheets/d/1C3CXT74ZlgGe6_JY_1olB1XN4rF0dxEuIIF-xsYjHgg/edit?usp=sharing"",""งบกองทุน!av79"")"),71000)</f>
        <v>71000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IFERROR(__xludf.DUMMYFUNCTION("IMPORTRANGE(""https://docs.google.com/spreadsheets/d/1C3CXT74ZlgGe6_JY_1olB1XN4rF0dxEuIIF-xsYjHgg/edit?usp=sharing"",""งบกองทุน!ay79"")"),10)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IFERROR(__xludf.DUMMYFUNCTION("IMPORTRANGE(""https://docs.google.com/spreadsheets/d/1C3CXT74ZlgGe6_JY_1olB1XN4rF0dxEuIIF-xsYjHgg/edit?usp=sharing"",""งบกองทุน!az79"")"),0)</f>
        <v>0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IFERROR(__xludf.DUMMYFUNCTION("IMPORTRANGE(""https://docs.google.com/spreadsheets/d/1C3CXT74ZlgGe6_JY_1olB1XN4rF0dxEuIIF-xsYjHgg/edit?usp=sharing"",""งบกองทุน!Ba79"")"),0)</f>
        <v>0</v>
      </c>
      <c r="J347" s="67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IFERROR(__xludf.DUMMYFUNCTION("IMPORTRANGE(""https://docs.google.com/spreadsheets/d/1C3CXT74ZlgGe6_JY_1olB1XN4rF0dxEuIIF-xsYjHgg/edit?usp=sharing"",""งบกองทุน!Bc79"")"),0)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IFERROR(__xludf.DUMMYFUNCTION("IMPORTRANGE(""https://docs.google.com/spreadsheets/d/1C3CXT74ZlgGe6_JY_1olB1XN4rF0dxEuIIF-xsYjHgg/edit?usp=sharing"",""งบกองทุน!Bd79"")"),0)</f>
        <v>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2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2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IFERROR(__xludf.DUMMYFUNCTION("IMPORTRANGE(""https://docs.google.com/spreadsheets/d/1C3CXT74ZlgGe6_JY_1olB1XN4rF0dxEuIIF-xsYjHgg/edit?usp=sharing"",""งบกองทุน!BE79"")"),0)</f>
        <v>0</v>
      </c>
      <c r="J359" s="136">
        <f>+J376</f>
        <v>0</v>
      </c>
      <c r="K359" s="137">
        <f t="shared" ref="K359:K425" ca="1" si="82">IF(I359&gt;0,J359*100/I359,0)</f>
        <v>0</v>
      </c>
      <c r="L359" s="139"/>
      <c r="M359" s="4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IFERROR(__xludf.DUMMYFUNCTION("IMPORTRANGE(""https://docs.google.com/spreadsheets/d/1C3CXT74ZlgGe6_JY_1olB1XN4rF0dxEuIIF-xsYjHgg/edit?usp=sharing"",""งบกองทุน!BE79"")"),0)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IFERROR(__xludf.DUMMYFUNCTION("IMPORTRANGE(""https://docs.google.com/spreadsheets/d/1C3CXT74ZlgGe6_JY_1olB1XN4rF0dxEuIIF-xsYjHgg/edit?usp=sharing"",""งบกองทุน!Bf79"")"),0)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6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6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6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6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6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6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78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ca="1">I361</f>
        <v>0</v>
      </c>
      <c r="J369" s="78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6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6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6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6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6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6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78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78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6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6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6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6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78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78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6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6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6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6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6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6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IFERROR(__xludf.DUMMYFUNCTION("IMPORTRANGE(""https://docs.google.com/spreadsheets/d/1C3CXT74ZlgGe6_JY_1olB1XN4rF0dxEuIIF-xsYjHgg/edit?usp=sharing"",""งบกองทุน!cd79"")"),0)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IFERROR(__xludf.DUMMYFUNCTION("IMPORTRANGE(""https://docs.google.com/spreadsheets/d/1C3CXT74ZlgGe6_JY_1olB1XN4rF0dxEuIIF-xsYjHgg/edit?usp=sharing"",""งบกองทุน!cd79"")"),0)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IFERROR(__xludf.DUMMYFUNCTION("IMPORTRANGE(""https://docs.google.com/spreadsheets/d/1C3CXT74ZlgGe6_JY_1olB1XN4rF0dxEuIIF-xsYjHgg/edit?usp=sharing"",""งบกองทุน!cc79"")"),0)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6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6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6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6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6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6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66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66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6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6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6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6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6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6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IFERROR(__xludf.DUMMYFUNCTION("IMPORTRANGE(""https://docs.google.com/spreadsheets/d/1C3CXT74ZlgGe6_JY_1olB1XN4rF0dxEuIIF-xsYjHgg/edit?usp=sharing"",""งบกองทุน!cz79"")"),0)</f>
        <v>0</v>
      </c>
      <c r="J409" s="136">
        <v>0</v>
      </c>
      <c r="K409" s="137">
        <f t="shared" ca="1" si="82"/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IFERROR(__xludf.DUMMYFUNCTION("IMPORTRANGE(""https://docs.google.com/spreadsheets/d/1C3CXT74ZlgGe6_JY_1olB1XN4rF0dxEuIIF-xsYjHgg/edit?usp=sharing"",""งบกองทุน!cz79"")"),0)</f>
        <v>0</v>
      </c>
      <c r="J410" s="149">
        <v>0</v>
      </c>
      <c r="K410" s="146">
        <f t="shared" ca="1" si="82"/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IFERROR(__xludf.DUMMYFUNCTION("IMPORTRANGE(""https://docs.google.com/spreadsheets/d/1C3CXT74ZlgGe6_JY_1olB1XN4rF0dxEuIIF-xsYjHgg/edit?usp=sharing"",""งบกองทุน!cy79"")"),0)</f>
        <v>0</v>
      </c>
      <c r="J411" s="149">
        <v>0</v>
      </c>
      <c r="K411" s="146">
        <f t="shared" ca="1" si="82"/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IFERROR(__xludf.DUMMYFUNCTION("IMPORTRANGE(""https://docs.google.com/spreadsheets/d/1C3CXT74ZlgGe6_JY_1olB1XN4rF0dxEuIIF-xsYjHgg/edit?usp=sharing"",""งบกองทุน!db79"")"),0)</f>
        <v>0</v>
      </c>
      <c r="K412" s="48">
        <f t="shared" si="82"/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IFERROR(__xludf.DUMMYFUNCTION("IMPORTRANGE(""https://docs.google.com/spreadsheets/d/1C3CXT74ZlgGe6_JY_1olB1XN4rF0dxEuIIF-xsYjHgg/edit?usp=sharing"",""งบกองทุน!da79"")"),0)</f>
        <v>0</v>
      </c>
      <c r="K413" s="48">
        <f t="shared" si="82"/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IFERROR(__xludf.DUMMYFUNCTION("IMPORTRANGE(""https://docs.google.com/spreadsheets/d/1C3CXT74ZlgGe6_JY_1olB1XN4rF0dxEuIIF-xsYjHgg/edit?usp=sharing"",""งบกองทุน!dd79"")"),0)</f>
        <v>0</v>
      </c>
      <c r="K414" s="48">
        <f t="shared" si="82"/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IFERROR(__xludf.DUMMYFUNCTION("IMPORTRANGE(""https://docs.google.com/spreadsheets/d/1C3CXT74ZlgGe6_JY_1olB1XN4rF0dxEuIIF-xsYjHgg/edit?usp=sharing"",""งบกองทุน!dc79"")"),0)</f>
        <v>0</v>
      </c>
      <c r="K415" s="48">
        <f t="shared" si="82"/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IFERROR(__xludf.DUMMYFUNCTION("IMPORTRANGE(""https://docs.google.com/spreadsheets/d/1C3CXT74ZlgGe6_JY_1olB1XN4rF0dxEuIIF-xsYjHgg/edit?usp=sharing"",""งบกองทุน!df79"")"),0)</f>
        <v>0</v>
      </c>
      <c r="K416" s="48">
        <f t="shared" si="82"/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IFERROR(__xludf.DUMMYFUNCTION("IMPORTRANGE(""https://docs.google.com/spreadsheets/d/1C3CXT74ZlgGe6_JY_1olB1XN4rF0dxEuIIF-xsYjHgg/edit?usp=sharing"",""งบกองทุน!de79"")"),0)</f>
        <v>0</v>
      </c>
      <c r="K417" s="48">
        <f t="shared" si="82"/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f t="shared" ca="1" si="82"/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f t="shared" ca="1" si="82"/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f t="shared" si="82"/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f t="shared" si="82"/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f t="shared" si="82"/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f t="shared" si="82"/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f t="shared" si="82"/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f t="shared" si="82"/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10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24140</v>
      </c>
      <c r="M426" s="259">
        <f t="shared" si="92"/>
        <v>5990</v>
      </c>
      <c r="N426" s="259">
        <f t="shared" ref="N426:N430" ca="1" si="93">+IF(L426&gt;0,M426*100/L426,0)</f>
        <v>24.813587406793705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24140</v>
      </c>
      <c r="M428" s="52">
        <f t="shared" si="94"/>
        <v>5990</v>
      </c>
      <c r="N428" s="52">
        <f t="shared" ca="1" si="93"/>
        <v>24.813587406793705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IFERROR(__xludf.DUMMYFUNCTION("IMPORTRANGE(""https://docs.google.com/spreadsheets/d/1C3CXT74ZlgGe6_JY_1olB1XN4rF0dxEuIIF-xsYjHgg/edit?usp=sharing"",""งบกองทุน!dn79"")"),0)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IFERROR(__xludf.DUMMYFUNCTION("IMPORTRANGE(""https://docs.google.com/spreadsheets/d/1C3CXT74ZlgGe6_JY_1olB1XN4rF0dxEuIIF-xsYjHgg/edit?usp=sharing"",""งบกองทุน!do79"")"),24140)</f>
        <v>24140</v>
      </c>
      <c r="M430" s="52">
        <f>SUM(M431:M434)</f>
        <v>5990</v>
      </c>
      <c r="N430" s="52">
        <f t="shared" ca="1" si="93"/>
        <v>24.813587406793705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5990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IFERROR(__xludf.DUMMYFUNCTION("IMPORTRANGE(""https://docs.google.com/spreadsheets/d/1C3CXT74ZlgGe6_JY_1olB1XN4rF0dxEuIIF-xsYjHgg/edit?usp=sharing"",""งบกองทุน!dq79"")"),10)</f>
        <v>10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IFERROR(__xludf.DUMMYFUNCTION("IMPORTRANGE(""https://docs.google.com/spreadsheets/d/1C3CXT74ZlgGe6_JY_1olB1XN4rF0dxEuIIF-xsYjHgg/edit?usp=sharing"",""งบกองทุน!dr79"")"),10)</f>
        <v>10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IFERROR(__xludf.DUMMYFUNCTION("IMPORTRANGE(""https://docs.google.com/spreadsheets/d/1C3CXT74ZlgGe6_JY_1olB1XN4rF0dxEuIIF-xsYjHgg/edit?usp=sharing"",""งบกองทุน!dt79"")"),0)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66"/>
      <c r="K448" s="232"/>
      <c r="L448" s="52">
        <f ca="1">IFERROR(__xludf.DUMMYFUNCTION("IMPORTRANGE(""https://docs.google.com/spreadsheets/d/1C3CXT74ZlgGe6_JY_1olB1XN4rF0dxEuIIF-xsYjHgg/edit?usp=sharing"",""งบกองทุน!du79"")"),0)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IFERROR(__xludf.DUMMYFUNCTION("IMPORTRANGE(""https://docs.google.com/spreadsheets/d/1C3CXT74ZlgGe6_JY_1olB1XN4rF0dxEuIIF-xsYjHgg/edit?usp=sharing"",""งบกองทุน!dw79"")"),0)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IFERROR(__xludf.DUMMYFUNCTION("IMPORTRANGE(""https://docs.google.com/spreadsheets/d/1C3CXT74ZlgGe6_JY_1olB1XN4rF0dxEuIIF-xsYjHgg/edit?usp=sharing"",""งบกองทุน!dx79"")"),0)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IFERROR(__xludf.DUMMYFUNCTION("IMPORTRANGE(""https://docs.google.com/spreadsheets/d/1C3CXT74ZlgGe6_JY_1olB1XN4rF0dxEuIIF-xsYjHgg/edit?usp=sharing"",""งบกองทุน!dy79"")"),0)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IFERROR(__xludf.DUMMYFUNCTION("IMPORTRANGE(""https://docs.google.com/spreadsheets/d/1C3CXT74ZlgGe6_JY_1olB1XN4rF0dxEuIIF-xsYjHgg/edit?usp=sharing"",""งบกองทุน!dz79"")"),0)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20</v>
      </c>
      <c r="J457" s="226">
        <f>+J466</f>
        <v>5</v>
      </c>
      <c r="K457" s="227">
        <f t="shared" ca="1" si="100"/>
        <v>25</v>
      </c>
      <c r="L457" s="228">
        <f t="shared" ref="L457:M457" ca="1" si="101">SUM(L458:L459)</f>
        <v>117840</v>
      </c>
      <c r="M457" s="228">
        <f t="shared" si="101"/>
        <v>27996</v>
      </c>
      <c r="N457" s="228">
        <f t="shared" ref="N457:N461" ca="1" si="102">+IF(L457&gt;0,M457*100/L457,0)</f>
        <v>23.757637474541752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117840</v>
      </c>
      <c r="M459" s="52">
        <f t="shared" si="103"/>
        <v>27996</v>
      </c>
      <c r="N459" s="52">
        <f t="shared" ca="1" si="102"/>
        <v>23.757637474541752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IFERROR(__xludf.DUMMYFUNCTION("IMPORTRANGE(""https://docs.google.com/spreadsheets/d/1C3CXT74ZlgGe6_JY_1olB1XN4rF0dxEuIIF-xsYjHgg/edit?usp=sharing"",""งบกองทุน!Eb79"")"),0)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IFERROR(__xludf.DUMMYFUNCTION("IMPORTRANGE(""https://docs.google.com/spreadsheets/d/1C3CXT74ZlgGe6_JY_1olB1XN4rF0dxEuIIF-xsYjHgg/edit?usp=sharing"",""งบกองทุน!Ec79"")"),117840)</f>
        <v>117840</v>
      </c>
      <c r="M461" s="52">
        <f>SUM(M462:M465)</f>
        <v>27996</v>
      </c>
      <c r="N461" s="52">
        <f t="shared" ca="1" si="102"/>
        <v>23.757637474541752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27996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IFERROR(__xludf.DUMMYFUNCTION("IMPORTRANGE(""https://docs.google.com/spreadsheets/d/1C3CXT74ZlgGe6_JY_1olB1XN4rF0dxEuIIF-xsYjHgg/edit?usp=sharing"",""งบกองทุน!Ed79"")"),20)</f>
        <v>20</v>
      </c>
      <c r="J466" s="265">
        <f>+J469+J470+J471+J472</f>
        <v>5</v>
      </c>
      <c r="K466" s="79">
        <f ca="1">IF(I466&gt;0,J466*100/I466,0)</f>
        <v>25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/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5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IFERROR(__xludf.DUMMYFUNCTION("IMPORTRANGE(""https://docs.google.com/spreadsheets/d/1C3CXT74ZlgGe6_JY_1olB1XN4rF0dxEuIIF-xsYjHgg/edit?usp=sharing"",""งบกองทุน!Ek79"")"),0)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IFERROR(__xludf.DUMMYFUNCTION("IMPORTRANGE(""https://docs.google.com/spreadsheets/d/1C3CXT74ZlgGe6_JY_1olB1XN4rF0dxEuIIF-xsYjHgg/edit?usp=sharing"",""งบกองทุน!El79"")"),0)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IFERROR(__xludf.DUMMYFUNCTION("IMPORTRANGE(""https://docs.google.com/spreadsheets/d/1C3CXT74ZlgGe6_JY_1olB1XN4rF0dxEuIIF-xsYjHgg/edit?usp=sharing"",""งบกองทุน!Em79"")"),0)</f>
        <v>0</v>
      </c>
      <c r="J482" s="66">
        <f ca="1">IFERROR(__xludf.DUMMYFUNCTION("IMPORTRANGE(""https://docs.google.com/spreadsheets/d/1AGHcLOeeYFL3K4b9R1dSzyJy00PE_ra89DNTVfnxSWM/edit?usp=sharing"",""รวมที่ชุมชน!G68"")"),0)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IFERROR(__xludf.DUMMYFUNCTION("IMPORTRANGE(""https://docs.google.com/spreadsheets/d/1C3CXT74ZlgGe6_JY_1olB1XN4rF0dxEuIIF-xsYjHgg/edit?usp=sharing"",""งบกองทุน!En79"")"),0)</f>
        <v>0</v>
      </c>
      <c r="J483" s="66">
        <f ca="1">IFERROR(__xludf.DUMMYFUNCTION("IMPORTRANGE(""https://docs.google.com/spreadsheets/d/1AGHcLOeeYFL3K4b9R1dSzyJy00PE_ra89DNTVfnxSWM/edit?usp=sharing"",""รวมที่ชุมชน!H68"")"),0)</f>
        <v>0</v>
      </c>
      <c r="K483" s="200">
        <f t="shared" ca="1" si="107"/>
        <v>0</v>
      </c>
      <c r="L483" s="60"/>
      <c r="M483" s="60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IFERROR(__xludf.DUMMYFUNCTION("IMPORTRANGE(""https://docs.google.com/spreadsheets/d/1C3CXT74ZlgGe6_JY_1olB1XN4rF0dxEuIIF-xsYjHgg/edit?usp=sharing"",""งบกองทุน!Eo79"")"),0)</f>
        <v>0</v>
      </c>
      <c r="J484" s="66">
        <f ca="1">IFERROR(__xludf.DUMMYFUNCTION("IMPORTRANGE(""https://docs.google.com/spreadsheets/d/1AGHcLOeeYFL3K4b9R1dSzyJy00PE_ra89DNTVfnxSWM/edit?usp=sharing"",""รวมที่ชุมชน!J68"")"),0)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IFERROR(__xludf.DUMMYFUNCTION("IMPORTRANGE(""https://docs.google.com/spreadsheets/d/1C3CXT74ZlgGe6_JY_1olB1XN4rF0dxEuIIF-xsYjHgg/edit?usp=sharing"",""งบกองทุน!Ep79"")"),0)</f>
        <v>0</v>
      </c>
      <c r="J485" s="66">
        <f ca="1">IFERROR(__xludf.DUMMYFUNCTION("IMPORTRANGE(""https://docs.google.com/spreadsheets/d/1AGHcLOeeYFL3K4b9R1dSzyJy00PE_ra89DNTVfnxSWM/edit?usp=sharing"",""รวมที่ชุมชน!L68"")"),0)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IFERROR(__xludf.DUMMYFUNCTION("IMPORTRANGE(""https://docs.google.com/spreadsheets/d/1C3CXT74ZlgGe6_JY_1olB1XN4rF0dxEuIIF-xsYjHgg/edit?usp=sharing"",""งบกองทุน!Eq79"")"),0)</f>
        <v>0</v>
      </c>
      <c r="J486" s="66">
        <f ca="1">IFERROR(__xludf.DUMMYFUNCTION("IMPORTRANGE(""https://docs.google.com/spreadsheets/d/1AGHcLOeeYFL3K4b9R1dSzyJy00PE_ra89DNTVfnxSWM/edit?usp=sharing"",""รวมที่ชุมชน!S68"")"),0)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IFERROR(__xludf.DUMMYFUNCTION("IMPORTRANGE(""https://docs.google.com/spreadsheets/d/1C3CXT74ZlgGe6_JY_1olB1XN4rF0dxEuIIF-xsYjHgg/edit?usp=sharing"",""งบกองทุน!Er79"")"),0)</f>
        <v>0</v>
      </c>
      <c r="J487" s="66">
        <f ca="1">IFERROR(__xludf.DUMMYFUNCTION("IMPORTRANGE(""https://docs.google.com/spreadsheets/d/1AGHcLOeeYFL3K4b9R1dSzyJy00PE_ra89DNTVfnxSWM/edit?usp=sharing"",""รวมที่ชุมชน!U68"")"),0)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IFERROR(__xludf.DUMMYFUNCTION("IMPORTRANGE(""https://docs.google.com/spreadsheets/d/1C3CXT74ZlgGe6_JY_1olB1XN4rF0dxEuIIF-xsYjHgg/edit?usp=sharing"",""งบกองทุน!Es79"")"),0)</f>
        <v>0</v>
      </c>
      <c r="J488" s="66">
        <f ca="1">IFERROR(__xludf.DUMMYFUNCTION("IMPORTRANGE(""https://docs.google.com/spreadsheets/d/1AGHcLOeeYFL3K4b9R1dSzyJy00PE_ra89DNTVfnxSWM/edit?usp=sharing"",""รวมที่ชุมชน!V68"")"),0)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IFERROR(__xludf.DUMMYFUNCTION("IMPORTRANGE(""https://docs.google.com/spreadsheets/d/1C3CXT74ZlgGe6_JY_1olB1XN4rF0dxEuIIF-xsYjHgg/edit?usp=sharing"",""งบกองทุน!Et79"")"),0)</f>
        <v>0</v>
      </c>
      <c r="J489" s="111">
        <f ca="1">IFERROR(__xludf.DUMMYFUNCTION("IMPORTRANGE(""https://docs.google.com/spreadsheets/d/1AGHcLOeeYFL3K4b9R1dSzyJy00PE_ra89DNTVfnxSWM/edit?usp=sharing"",""รวมที่ชุมชน!X68"")"),0)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80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10800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10800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IFERROR(__xludf.DUMMYFUNCTION("IMPORTRANGE(""https://docs.google.com/spreadsheets/d/1C3CXT74ZlgGe6_JY_1olB1XN4rF0dxEuIIF-xsYjHgg/edit?usp=sharing"",""งบกองทุน!Ev79"")"),0)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IFERROR(__xludf.DUMMYFUNCTION("IMPORTRANGE(""https://docs.google.com/spreadsheets/d/1C3CXT74ZlgGe6_JY_1olB1XN4rF0dxEuIIF-xsYjHgg/edit?usp=sharing"",""งบกองทุน!Ew79"")"),10800)</f>
        <v>10800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IFERROR(__xludf.DUMMYFUNCTION("IMPORTRANGE(""https://docs.google.com/spreadsheets/d/1C3CXT74ZlgGe6_JY_1olB1XN4rF0dxEuIIF-xsYjHgg/edit?usp=sharing"",""งบกองทุน!EZ79"")"),80)</f>
        <v>80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IFERROR(__xludf.DUMMYFUNCTION("IMPORTRANGE(""https://docs.google.com/spreadsheets/d/1C3CXT74ZlgGe6_JY_1olB1XN4rF0dxEuIIF-xsYjHgg/edit?usp=sharing"",""งบกองทุน!ff79"")"),293)</f>
        <v>293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IFERROR(__xludf.DUMMYFUNCTION("IMPORTRANGE(""https://docs.google.com/spreadsheets/d/1muirlRDkqiswvy_NRZ3Yh955hx-PF6_HhssUYiSJj8o/edit?usp=sharing"",""กองทุน!D79"")"),510000)</f>
        <v>510000</v>
      </c>
      <c r="J521" s="199">
        <f ca="1">IFERROR(__xludf.DUMMYFUNCTION("IMPORTRANGE(""https://docs.google.com/spreadsheets/d/1muirlRDkqiswvy_NRZ3Yh955hx-PF6_HhssUYiSJj8o/edit?usp=sharing"",""กองทุน!F79"")"),0)</f>
        <v>0</v>
      </c>
      <c r="K521" s="200">
        <f t="shared" ref="K521:K528" ca="1" si="116">IF(I521&gt;0,J521*100/I521,0)</f>
        <v>0</v>
      </c>
      <c r="L521" s="200" t="s">
        <v>223</v>
      </c>
      <c r="M521" s="200" t="s">
        <v>223</v>
      </c>
      <c r="N521" s="52" t="s">
        <v>223</v>
      </c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IFERROR(__xludf.DUMMYFUNCTION("IMPORTRANGE(""https://docs.google.com/spreadsheets/d/1muirlRDkqiswvy_NRZ3Yh955hx-PF6_HhssUYiSJj8o/edit?usp=sharing"",""กองทุน!C79"")"),18)</f>
        <v>18</v>
      </c>
      <c r="J522" s="199">
        <f ca="1">IFERROR(__xludf.DUMMYFUNCTION("IMPORTRANGE(""https://docs.google.com/spreadsheets/d/1muirlRDkqiswvy_NRZ3Yh955hx-PF6_HhssUYiSJj8o/edit?usp=sharing"",""กองทุน!E79"")"),0)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IFERROR(__xludf.DUMMYFUNCTION("IMPORTRANGE(""https://docs.google.com/spreadsheets/d/1muirlRDkqiswvy_NRZ3Yh955hx-PF6_HhssUYiSJj8o/edit?usp=sharing"",""กองทุน!I79"")"),169583.93)</f>
        <v>169583.93</v>
      </c>
      <c r="J523" s="199">
        <f ca="1">IFERROR(__xludf.DUMMYFUNCTION("IMPORTRANGE(""https://docs.google.com/spreadsheets/d/1muirlRDkqiswvy_NRZ3Yh955hx-PF6_HhssUYiSJj8o/edit?usp=sharing"",""กองทุน!K79"")"),0)</f>
        <v>0</v>
      </c>
      <c r="K523" s="200">
        <f t="shared" ca="1" si="116"/>
        <v>0</v>
      </c>
      <c r="L523" s="200" t="s">
        <v>223</v>
      </c>
      <c r="M523" s="200" t="s">
        <v>223</v>
      </c>
      <c r="N523" s="52" t="s">
        <v>223</v>
      </c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IFERROR(__xludf.DUMMYFUNCTION("IMPORTRANGE(""https://docs.google.com/spreadsheets/d/1muirlRDkqiswvy_NRZ3Yh955hx-PF6_HhssUYiSJj8o/edit?usp=sharing"",""กองทุน!H79"")"),6)</f>
        <v>6</v>
      </c>
      <c r="J524" s="199">
        <f ca="1">IFERROR(__xludf.DUMMYFUNCTION("IMPORTRANGE(""https://docs.google.com/spreadsheets/d/1muirlRDkqiswvy_NRZ3Yh955hx-PF6_HhssUYiSJj8o/edit?usp=sharing"",""กองทุน!J79"")"),0)</f>
        <v>0</v>
      </c>
      <c r="K524" s="200">
        <f t="shared" ca="1" si="116"/>
        <v>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IFERROR(__xludf.DUMMYFUNCTION("IMPORTRANGE(""https://docs.google.com/spreadsheets/d/1muirlRDkqiswvy_NRZ3Yh955hx-PF6_HhssUYiSJj8o/edit?usp=sharing"",""กองทุน!N79"")"),0)</f>
        <v>0</v>
      </c>
      <c r="J525" s="199">
        <f ca="1">IFERROR(__xludf.DUMMYFUNCTION("IMPORTRANGE(""https://docs.google.com/spreadsheets/d/1muirlRDkqiswvy_NRZ3Yh955hx-PF6_HhssUYiSJj8o/edit?usp=sharing"",""กองทุน!P79"")"),0)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IFERROR(__xludf.DUMMYFUNCTION("IMPORTRANGE(""https://docs.google.com/spreadsheets/d/1muirlRDkqiswvy_NRZ3Yh955hx-PF6_HhssUYiSJj8o/edit?usp=sharing"",""กองทุน!M79"")"),0)</f>
        <v>0</v>
      </c>
      <c r="J526" s="199">
        <f ca="1">IFERROR(__xludf.DUMMYFUNCTION("IMPORTRANGE(""https://docs.google.com/spreadsheets/d/1muirlRDkqiswvy_NRZ3Yh955hx-PF6_HhssUYiSJj8o/edit?usp=sharing"",""กองทุน!O79"")"),0)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IFERROR(__xludf.DUMMYFUNCTION("IMPORTRANGE(""https://docs.google.com/spreadsheets/d/1muirlRDkqiswvy_NRZ3Yh955hx-PF6_HhssUYiSJj8o/edit?usp=sharing"",""กองทุน!S79"")"),900000)</f>
        <v>900000</v>
      </c>
      <c r="J527" s="199">
        <f ca="1">IFERROR(__xludf.DUMMYFUNCTION("IMPORTRANGE(""https://docs.google.com/spreadsheets/d/1muirlRDkqiswvy_NRZ3Yh955hx-PF6_HhssUYiSJj8o/edit?usp=sharing"",""กองทุน!U79"")"),0)</f>
        <v>0</v>
      </c>
      <c r="K527" s="200">
        <f t="shared" ca="1" si="116"/>
        <v>0</v>
      </c>
      <c r="L527" s="200" t="s">
        <v>223</v>
      </c>
      <c r="M527" s="200" t="s">
        <v>223</v>
      </c>
      <c r="N527" s="52" t="s">
        <v>223</v>
      </c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IFERROR(__xludf.DUMMYFUNCTION("IMPORTRANGE(""https://docs.google.com/spreadsheets/d/1muirlRDkqiswvy_NRZ3Yh955hx-PF6_HhssUYiSJj8o/edit?usp=sharing"",""กองทุน!R79"")"),30)</f>
        <v>30</v>
      </c>
      <c r="J528" s="324">
        <f ca="1">IFERROR(__xludf.DUMMYFUNCTION("IMPORTRANGE(""https://docs.google.com/spreadsheets/d/1muirlRDkqiswvy_NRZ3Yh955hx-PF6_HhssUYiSJj8o/edit?usp=sharing"",""กองทุน!T79"")"),0)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220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1924345</v>
      </c>
      <c r="M6" s="16">
        <f t="shared" si="0"/>
        <v>133836</v>
      </c>
      <c r="N6" s="17">
        <f ca="1">IF(L6&gt;0,M6*100/L6,0)</f>
        <v>6.954885948205753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713200</v>
      </c>
      <c r="M9" s="40">
        <f>SUM(M11:M12)</f>
        <v>25073</v>
      </c>
      <c r="N9" s="39">
        <f ca="1">IF(L9&gt;0,M9*100/L9,0)</f>
        <v>3.5155636567582724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60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IFERROR(__xludf.DUMMYFUNCTION("IMPORTRANGE(""https://docs.google.com/spreadsheets/d/1C3CXT74ZlgGe6_JY_1olB1XN4rF0dxEuIIF-xsYjHgg/edit?usp=sharing"",""พรบ!C60"")"),713200)</f>
        <v>713200</v>
      </c>
      <c r="M12" s="49">
        <f>SUM(M13:M14)</f>
        <v>25073</v>
      </c>
      <c r="N12" s="49">
        <f t="shared" ca="1" si="4"/>
        <v>3.5155636567582724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IFERROR(__xludf.DUMMYFUNCTION("IMPORTRANGE(""https://docs.google.com/spreadsheets/d/1C3CXT74ZlgGe6_JY_1olB1XN4rF0dxEuIIF-xsYjHgg/edit?usp=sharing"",""พรบ!D60"")"),175200)</f>
        <v>175200</v>
      </c>
      <c r="M13" s="53">
        <v>18100</v>
      </c>
      <c r="N13" s="52">
        <f t="shared" ca="1" si="4"/>
        <v>10.331050228310502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IFERROR(__xludf.DUMMYFUNCTION("IMPORTRANGE(""https://docs.google.com/spreadsheets/d/1C3CXT74ZlgGe6_JY_1olB1XN4rF0dxEuIIF-xsYjHgg/edit?usp=sharing"",""พรบ!E60"")"),538000)</f>
        <v>538000</v>
      </c>
      <c r="M14" s="53">
        <v>6973</v>
      </c>
      <c r="N14" s="52">
        <f t="shared" ca="1" si="4"/>
        <v>1.2960966542750929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1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0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0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60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IFERROR(__xludf.DUMMYFUNCTION("IMPORTRANGE(""https://docs.google.com/spreadsheets/d/1C3CXT74ZlgGe6_JY_1olB1XN4rF0dxEuIIF-xsYjHgg/edit?usp=sharing"",""พรบ!H60"")"),0)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IFERROR(__xludf.DUMMYFUNCTION("IMPORTRANGE(""https://docs.google.com/spreadsheets/d/1C3CXT74ZlgGe6_JY_1olB1XN4rF0dxEuIIF-xsYjHgg/edit?usp=sharing"",""พรบ!I60"")"),0)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IFERROR(__xludf.DUMMYFUNCTION("IMPORTRANGE(""https://docs.google.com/spreadsheets/d/1C3CXT74ZlgGe6_JY_1olB1XN4rF0dxEuIIF-xsYjHgg/edit?usp=sharing"",""พรบ!J60"")"),0)</f>
        <v>0</v>
      </c>
      <c r="J24" s="66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IFERROR(__xludf.DUMMYFUNCTION("IMPORTRANGE(""https://docs.google.com/spreadsheets/d/1C3CXT74ZlgGe6_JY_1olB1XN4rF0dxEuIIF-xsYjHgg/edit?usp=sharing"",""พรบ!K60"")"),0)</f>
        <v>0</v>
      </c>
      <c r="J25" s="66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IFERROR(__xludf.DUMMYFUNCTION("IMPORTRANGE(""https://docs.google.com/spreadsheets/d/1C3CXT74ZlgGe6_JY_1olB1XN4rF0dxEuIIF-xsYjHgg/edit?usp=sharing"",""พรบ!L60"")"),1)</f>
        <v>1</v>
      </c>
      <c r="J26" s="67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IFERROR(__xludf.DUMMYFUNCTION("IMPORTRANGE(""https://docs.google.com/spreadsheets/d/1C3CXT74ZlgGe6_JY_1olB1XN4rF0dxEuIIF-xsYjHgg/edit?usp=sharing"",""พรบ!M60"")"),60)</f>
        <v>60</v>
      </c>
      <c r="J27" s="67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IFERROR(__xludf.DUMMYFUNCTION("IMPORTRANGE(""https://docs.google.com/spreadsheets/d/1C3CXT74ZlgGe6_JY_1olB1XN4rF0dxEuIIF-xsYjHgg/edit?usp=sharing"",""พรบ!N60"")"),0)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IFERROR(__xludf.DUMMYFUNCTION("IMPORTRANGE(""https://docs.google.com/spreadsheets/d/1C3CXT74ZlgGe6_JY_1olB1XN4rF0dxEuIIF-xsYjHgg/edit?usp=sharing"",""พรบ!O60"")"),0)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IFERROR(__xludf.DUMMYFUNCTION("IMPORTRANGE(""https://docs.google.com/spreadsheets/d/1C3CXT74ZlgGe6_JY_1olB1XN4rF0dxEuIIF-xsYjHgg/edit?usp=sharing"",""พรบ!P60"")"),0)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IFERROR(__xludf.DUMMYFUNCTION("IMPORTRANGE(""https://docs.google.com/spreadsheets/d/1C3CXT74ZlgGe6_JY_1olB1XN4rF0dxEuIIF-xsYjHgg/edit?usp=sharing"",""พรบ!Q60"")"),0)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IFERROR(__xludf.DUMMYFUNCTION("IMPORTRANGE(""https://docs.google.com/spreadsheets/d/1C3CXT74ZlgGe6_JY_1olB1XN4rF0dxEuIIF-xsYjHgg/edit?usp=sharing"",""พรบ!R60"")"),0)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IFERROR(__xludf.DUMMYFUNCTION("IMPORTRANGE(""https://docs.google.com/spreadsheets/d/1C3CXT74ZlgGe6_JY_1olB1XN4rF0dxEuIIF-xsYjHgg/edit?usp=sharing"",""พรบ!S60"")"),0)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IFERROR(__xludf.DUMMYFUNCTION("IMPORTRANGE(""https://docs.google.com/spreadsheets/d/1C3CXT74ZlgGe6_JY_1olB1XN4rF0dxEuIIF-xsYjHgg/edit?usp=sharing"",""พรบ!T60"")"),0)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IFERROR(__xludf.DUMMYFUNCTION("IMPORTRANGE(""https://docs.google.com/spreadsheets/d/1C3CXT74ZlgGe6_JY_1olB1XN4rF0dxEuIIF-xsYjHgg/edit?usp=sharing"",""พรบ!U60"")"),0)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IFERROR(__xludf.DUMMYFUNCTION("IMPORTRANGE(""https://docs.google.com/spreadsheets/d/1C3CXT74ZlgGe6_JY_1olB1XN4rF0dxEuIIF-xsYjHgg/edit?usp=sharing"",""พรบ!V60"")"),0)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IFERROR(__xludf.DUMMYFUNCTION("IMPORTRANGE(""https://docs.google.com/spreadsheets/d/1C3CXT74ZlgGe6_JY_1olB1XN4rF0dxEuIIF-xsYjHgg/edit?usp=sharing"",""พรบ!W60"")"),0)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IFERROR(__xludf.DUMMYFUNCTION("IMPORTRANGE(""https://docs.google.com/spreadsheets/d/1C3CXT74ZlgGe6_JY_1olB1XN4rF0dxEuIIF-xsYjHgg/edit?usp=sharing"",""พรบ!Y60"")"),0)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IFERROR(__xludf.DUMMYFUNCTION("IMPORTRANGE(""https://docs.google.com/spreadsheets/d/1C3CXT74ZlgGe6_JY_1olB1XN4rF0dxEuIIF-xsYjHgg/edit?usp=sharing"",""พรบ!Z60"")"),0)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IFERROR(__xludf.DUMMYFUNCTION("IMPORTRANGE(""https://docs.google.com/spreadsheets/d/1C3CXT74ZlgGe6_JY_1olB1XN4rF0dxEuIIF-xsYjHgg/edit?usp=sharing"",""พรบ!AA60"")"),0)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20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255400</v>
      </c>
      <c r="M68" s="138">
        <f t="shared" si="16"/>
        <v>39700</v>
      </c>
      <c r="N68" s="137">
        <f ca="1">IF(L68&gt;0,M68*100/L68,0)</f>
        <v>15.544244322631167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255400</v>
      </c>
      <c r="M71" s="139">
        <f>SUM(M72:M73)</f>
        <v>39700</v>
      </c>
      <c r="N71" s="49">
        <f t="shared" ca="1" si="17"/>
        <v>15.544244322631167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IFERROR(__xludf.DUMMYFUNCTION("IMPORTRANGE(""https://docs.google.com/spreadsheets/d/1C3CXT74ZlgGe6_JY_1olB1XN4rF0dxEuIIF-xsYjHgg/edit?usp=sharing"",""พรบ!AD60"")"),132000)</f>
        <v>132000</v>
      </c>
      <c r="M72" s="53">
        <v>39700</v>
      </c>
      <c r="N72" s="52">
        <f t="shared" ca="1" si="17"/>
        <v>30.075757575757574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123400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IFERROR(__xludf.DUMMYFUNCTION("IMPORTRANGE(""https://docs.google.com/spreadsheets/d/1C3CXT74ZlgGe6_JY_1olB1XN4rF0dxEuIIF-xsYjHgg/edit?usp=sharing"",""พรบ!AF60"")"),7500)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IFERROR(__xludf.DUMMYFUNCTION("IMPORTRANGE(""https://docs.google.com/spreadsheets/d/1C3CXT74ZlgGe6_JY_1olB1XN4rF0dxEuIIF-xsYjHgg/edit?usp=sharing"",""พรบ!AG60"")"),4)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2</v>
      </c>
      <c r="J89" s="149">
        <f t="shared" si="21"/>
        <v>0</v>
      </c>
      <c r="K89" s="150">
        <f ca="1">IF(I89&gt;0,J89*100/I89,0)</f>
        <v>0</v>
      </c>
      <c r="L89" s="147">
        <f ca="1">L90+L91</f>
        <v>28000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28000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IFERROR(__xludf.DUMMYFUNCTION("IMPORTRANGE(""https://docs.google.com/spreadsheets/d/1C3CXT74ZlgGe6_JY_1olB1XN4rF0dxEuIIF-xsYjHgg/edit?usp=sharing"",""พรบ!AH60"")"),28000)</f>
        <v>28000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IFERROR(__xludf.DUMMYFUNCTION("IMPORTRANGE(""https://docs.google.com/spreadsheets/d/1C3CXT74ZlgGe6_JY_1olB1XN4rF0dxEuIIF-xsYjHgg/edit?usp=sharing"",""พรบ!AI60"")"),2)</f>
        <v>2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IFERROR(__xludf.DUMMYFUNCTION("IMPORTRANGE(""https://docs.google.com/spreadsheets/d/1C3CXT74ZlgGe6_JY_1olB1XN4rF0dxEuIIF-xsYjHgg/edit?usp=sharing"",""กปร!C60"")"),24000)</f>
        <v>24000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1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15000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IFERROR(__xludf.DUMMYFUNCTION("IMPORTRANGE(""https://docs.google.com/spreadsheets/d/1C3CXT74ZlgGe6_JY_1olB1XN4rF0dxEuIIF-xsYjHgg/edit?usp=sharing"",""พรบ!AJ60"")"),15000)</f>
        <v>15000</v>
      </c>
      <c r="M104" s="53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1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IFERROR(__xludf.DUMMYFUNCTION("IMPORTRANGE(""https://docs.google.com/spreadsheets/d/1C3CXT74ZlgGe6_JY_1olB1XN4rF0dxEuIIF-xsYjHgg/edit?usp=sharing"",""พรบ!AK60"")"),1)</f>
        <v>1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IFERROR(__xludf.DUMMYFUNCTION("IMPORTRANGE(""https://docs.google.com/spreadsheets/d/1C3CXT74ZlgGe6_JY_1olB1XN4rF0dxEuIIF-xsYjHgg/edit?usp=sharing"",""กปร!D60"")"),5000)</f>
        <v>5000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IFERROR(__xludf.DUMMYFUNCTION("IMPORTRANGE(""https://docs.google.com/spreadsheets/d/1C3CXT74ZlgGe6_JY_1olB1XN4rF0dxEuIIF-xsYjHgg/edit?usp=sharing"",""พรบ!AL60"")"),1)</f>
        <v>1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IFERROR(__xludf.DUMMYFUNCTION("IMPORTRANGE(""https://docs.google.com/spreadsheets/d/1C3CXT74ZlgGe6_JY_1olB1XN4rF0dxEuIIF-xsYjHgg/edit?usp=sharing"",""กปร!E60"")"),8000)</f>
        <v>8000</v>
      </c>
      <c r="M111" s="361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12800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8100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8100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IFERROR(__xludf.DUMMYFUNCTION("IMPORTRANGE(""https://docs.google.com/spreadsheets/d/1C3CXT74ZlgGe6_JY_1olB1XN4rF0dxEuIIF-xsYjHgg/edit?usp=sharing"",""พรบ!AM60"")"),8100)</f>
        <v>8100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IFERROR(__xludf.DUMMYFUNCTION("IMPORTRANGE(""https://docs.google.com/spreadsheets/d/1C3CXT74ZlgGe6_JY_1olB1XN4rF0dxEuIIF-xsYjHgg/edit?usp=sharing"",""พรบ!AO60"")"),12800)</f>
        <v>12800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IFERROR(__xludf.DUMMYFUNCTION("IMPORTRANGE(""https://docs.google.com/spreadsheets/d/1C3CXT74ZlgGe6_JY_1olB1XN4rF0dxEuIIF-xsYjHgg/edit?usp=sharing"",""พรบ!AP60"")"),12800)</f>
        <v>12800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IFERROR(__xludf.DUMMYFUNCTION("IMPORTRANGE(""https://docs.google.com/spreadsheets/d/1C3CXT74ZlgGe6_JY_1olB1XN4rF0dxEuIIF-xsYjHgg/edit?usp=sharing"",""กปร!F60"")"),4100)</f>
        <v>4100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IFERROR(__xludf.DUMMYFUNCTION("IMPORTRANGE(""https://docs.google.com/spreadsheets/d/1C3CXT74ZlgGe6_JY_1olB1XN4rF0dxEuIIF-xsYjHgg/edit?usp=sharing"",""พรบ!AQ60"")"),0)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IFERROR(__xludf.DUMMYFUNCTION("IMPORTRANGE(""https://docs.google.com/spreadsheets/d/1C3CXT74ZlgGe6_JY_1olB1XN4rF0dxEuIIF-xsYjHgg/edit?usp=sharing"",""กปร!G60"")"),0)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221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20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64800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64800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IFERROR(__xludf.DUMMYFUNCTION("IMPORTRANGE(""https://docs.google.com/spreadsheets/d/1C3CXT74ZlgGe6_JY_1olB1XN4rF0dxEuIIF-xsYjHgg/edit?usp=sharing"",""พรบ!AR60"")"),64800)</f>
        <v>64800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1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0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IFERROR(__xludf.DUMMYFUNCTION("IMPORTRANGE(""https://docs.google.com/spreadsheets/d/1C3CXT74ZlgGe6_JY_1olB1XN4rF0dxEuIIF-xsYjHgg/edit?usp=sharing"",""พรบ!AS60"")"),20)</f>
        <v>20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IFERROR(__xludf.DUMMYFUNCTION("IMPORTRANGE(""https://docs.google.com/spreadsheets/d/1C3CXT74ZlgGe6_JY_1olB1XN4rF0dxEuIIF-xsYjHgg/edit?usp=sharing"",""กปร!H60"")"),39800)</f>
        <v>39800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IFERROR(__xludf.DUMMYFUNCTION("IMPORTRANGE(""https://docs.google.com/spreadsheets/d/1C3CXT74ZlgGe6_JY_1olB1XN4rF0dxEuIIF-xsYjHgg/edit?usp=sharing"",""พรบ!AT60"")"),0)</f>
        <v>0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IFERROR(__xludf.DUMMYFUNCTION("IMPORTRANGE(""https://docs.google.com/spreadsheets/d/1C3CXT74ZlgGe6_JY_1olB1XN4rF0dxEuIIF-xsYjHgg/edit?usp=sharing"",""กปร!I60"")"),0)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IFERROR(__xludf.DUMMYFUNCTION("IMPORTRANGE(""https://docs.google.com/spreadsheets/d/1C3CXT74ZlgGe6_JY_1olB1XN4rF0dxEuIIF-xsYjHgg/edit?usp=sharing"",""พรบ!AU60"")"),0)</f>
        <v>0</v>
      </c>
      <c r="J141" s="66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IFERROR(__xludf.DUMMYFUNCTION("IMPORTRANGE(""https://docs.google.com/spreadsheets/d/1C3CXT74ZlgGe6_JY_1olB1XN4rF0dxEuIIF-xsYjHgg/edit?usp=sharing"",""กปร!J60"")"),0)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13</v>
      </c>
      <c r="J144" s="136">
        <f t="shared" si="36"/>
        <v>13</v>
      </c>
      <c r="K144" s="137">
        <f ca="1">IF(I144&gt;0,J144*100/I144,0)</f>
        <v>100</v>
      </c>
      <c r="L144" s="138">
        <f ca="1">L145+L146</f>
        <v>19295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IFERROR(__xludf.DUMMYFUNCTION("IMPORTRANGE(""https://docs.google.com/spreadsheets/d/1C3CXT74ZlgGe6_JY_1olB1XN4rF0dxEuIIF-xsYjHgg/edit?usp=sharing"",""พรบ!AY60"")"),19295)</f>
        <v>19295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13</v>
      </c>
      <c r="K149" s="137">
        <f ca="1">IF(I149&gt;0,J149*100/I149,0)</f>
        <v>100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IFERROR(__xludf.DUMMYFUNCTION("IMPORTRANGE(""https://docs.google.com/spreadsheets/d/1C3CXT74ZlgGe6_JY_1olB1XN4rF0dxEuIIF-xsYjHgg/edit?usp=sharing"",""พรบ!BA60"")"),13)</f>
        <v>13</v>
      </c>
      <c r="J155" s="67">
        <v>13</v>
      </c>
      <c r="K155" s="48">
        <f ca="1">IF(I155&gt;0,J155*100/I155,0)</f>
        <v>100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25</v>
      </c>
      <c r="J169" s="177">
        <f>+J180</f>
        <v>0</v>
      </c>
      <c r="K169" s="178">
        <f ca="1">IF(I169&gt;0,J169*100/I169,0)</f>
        <v>0</v>
      </c>
      <c r="L169" s="179">
        <f ca="1">L170+L171</f>
        <v>199000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199000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IFERROR(__xludf.DUMMYFUNCTION("IMPORTRANGE(""https://docs.google.com/spreadsheets/d/1C3CXT74ZlgGe6_JY_1olB1XN4rF0dxEuIIF-xsYjHgg/edit?usp=sharing"",""พรบ!BD60"")"),0)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IFERROR(__xludf.DUMMYFUNCTION("IMPORTRANGE(""https://docs.google.com/spreadsheets/d/1C3CXT74ZlgGe6_JY_1olB1XN4rF0dxEuIIF-xsYjHgg/edit?usp=sharing"",""พรบ!BE60"")"),199000)</f>
        <v>199000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0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1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1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1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IFERROR(__xludf.DUMMYFUNCTION("IMPORTRANGE(""https://docs.google.com/spreadsheets/d/1C3CXT74ZlgGe6_JY_1olB1XN4rF0dxEuIIF-xsYjHgg/edit?usp=sharing"",""พรบ!BF60"")"),1)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IFERROR(__xludf.DUMMYFUNCTION("IMPORTRANGE(""https://docs.google.com/spreadsheets/d/1C3CXT74ZlgGe6_JY_1olB1XN4rF0dxEuIIF-xsYjHgg/edit?usp=sharing"",""พรบ!BG60"")"),25)</f>
        <v>25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IFERROR(__xludf.DUMMYFUNCTION("IMPORTRANGE(""https://docs.google.com/spreadsheets/d/1C3CXT74ZlgGe6_JY_1olB1XN4rF0dxEuIIF-xsYjHgg/edit?usp=sharing"",""พรบ!BH60"")"),25)</f>
        <v>25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IFERROR(__xludf.DUMMYFUNCTION("IMPORTRANGE(""https://docs.google.com/spreadsheets/d/1C3CXT74ZlgGe6_JY_1olB1XN4rF0dxEuIIF-xsYjHgg/edit?usp=sharing"",""พรบ!BI60"")"),1)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IFERROR(__xludf.DUMMYFUNCTION("IMPORTRANGE(""https://docs.google.com/spreadsheets/d/1C3CXT74ZlgGe6_JY_1olB1XN4rF0dxEuIIF-xsYjHgg/edit?usp=sharing"",""พรบ!BK60"")"),0)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IFERROR(__xludf.DUMMYFUNCTION("IMPORTRANGE(""https://docs.google.com/spreadsheets/d/1C3CXT74ZlgGe6_JY_1olB1XN4rF0dxEuIIF-xsYjHgg/edit?usp=sharing"",""พรบ!BL60"")"),55200)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1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1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IFERROR(__xludf.DUMMYFUNCTION("IMPORTRANGE(""https://docs.google.com/spreadsheets/d/1C3CXT74ZlgGe6_JY_1olB1XN4rF0dxEuIIF-xsYjHgg/edit?usp=sharing"",""พรบ!BM60"")"),15)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IFERROR(__xludf.DUMMYFUNCTION("IMPORTRANGE(""https://docs.google.com/spreadsheets/d/1C3CXT74ZlgGe6_JY_1olB1XN4rF0dxEuIIF-xsYjHgg/edit?usp=sharing"",""พรบ!BP60"")"),0)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IFERROR(__xludf.DUMMYFUNCTION("IMPORTRANGE(""https://docs.google.com/spreadsheets/d/1C3CXT74ZlgGe6_JY_1olB1XN4rF0dxEuIIF-xsYjHgg/edit?usp=sharing"",""พรบ!BQ60"")"),0)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IFERROR(__xludf.DUMMYFUNCTION("IMPORTRANGE(""https://docs.google.com/spreadsheets/d/1C3CXT74ZlgGe6_JY_1olB1XN4rF0dxEuIIF-xsYjHgg/edit?usp=sharing"",""พรบ!BR60"")"),0)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IFERROR(__xludf.DUMMYFUNCTION("IMPORTRANGE(""https://docs.google.com/spreadsheets/d/1C3CXT74ZlgGe6_JY_1olB1XN4rF0dxEuIIF-xsYjHgg/edit?usp=sharing"",""พรบ!BU60"")"),0)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IFERROR(__xludf.DUMMYFUNCTION("IMPORTRANGE(""https://docs.google.com/spreadsheets/d/1C3CXT74ZlgGe6_JY_1olB1XN4rF0dxEuIIF-xsYjHgg/edit?usp=sharing"",""พรบ!BV60"")"),0)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160</v>
      </c>
      <c r="J228" s="197">
        <f ca="1">J240</f>
        <v>0</v>
      </c>
      <c r="K228" s="178">
        <f ca="1">IF(I228&gt;0,J228*100/I228,0)</f>
        <v>0</v>
      </c>
      <c r="L228" s="179">
        <f ca="1">L229+L230</f>
        <v>682250</v>
      </c>
      <c r="M228" s="179">
        <f>SUM(M229:M230)</f>
        <v>69063</v>
      </c>
      <c r="N228" s="178">
        <f ca="1">IF(L228&gt;0,M228*100/L228,0)</f>
        <v>10.122828875045805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682250</v>
      </c>
      <c r="M230" s="52">
        <f t="shared" si="51"/>
        <v>69063</v>
      </c>
      <c r="N230" s="52">
        <f t="shared" ca="1" si="50"/>
        <v>10.122828875045805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IFERROR(__xludf.DUMMYFUNCTION("IMPORTRANGE(""https://docs.google.com/spreadsheets/d/1C3CXT74ZlgGe6_JY_1olB1XN4rF0dxEuIIF-xsYjHgg/edit?usp=sharing"",""พรบ!BX60"")"),306000)</f>
        <v>306000</v>
      </c>
      <c r="M231" s="53">
        <v>55828</v>
      </c>
      <c r="N231" s="52">
        <f t="shared" ca="1" si="50"/>
        <v>18.244444444444444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IFERROR(__xludf.DUMMYFUNCTION("IMPORTRANGE(""https://docs.google.com/spreadsheets/d/1C3CXT74ZlgGe6_JY_1olB1XN4rF0dxEuIIF-xsYjHgg/edit?usp=sharing"",""พรบ!BY60"")"),376250)</f>
        <v>376250</v>
      </c>
      <c r="M232" s="53">
        <v>13235</v>
      </c>
      <c r="N232" s="52">
        <f t="shared" ca="1" si="50"/>
        <v>3.517607973421927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IFERROR(__xludf.DUMMYFUNCTION("IMPORTRANGE(""https://docs.google.com/spreadsheets/d/1AGHcLOeeYFL3K4b9R1dSzyJy00PE_ra89DNTVfnxSWM/edit?usp=sharing"",""รวมที่ทำกิน!J49"")"),0)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IFERROR(__xludf.DUMMYFUNCTION("IMPORTRANGE(""https://docs.google.com/spreadsheets/d/1C3CXT74ZlgGe6_JY_1olB1XN4rF0dxEuIIF-xsYjHgg/edit?usp=sharing"",""พรบ!BZ60"")"),2250)</f>
        <v>2250</v>
      </c>
      <c r="J235" s="66">
        <f ca="1">IFERROR(__xludf.DUMMYFUNCTION("IMPORTRANGE(""https://docs.google.com/spreadsheets/d/1AGHcLOeeYFL3K4b9R1dSzyJy00PE_ra89DNTVfnxSWM/edit?usp=sharing"",""รวมที่ทำกิน!L49"")"),0)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IFERROR(__xludf.DUMMYFUNCTION("IMPORTRANGE(""https://docs.google.com/spreadsheets/d/1C3CXT74ZlgGe6_JY_1olB1XN4rF0dxEuIIF-xsYjHgg/edit?usp=sharing"",""พรบ!CA60"")"),160)</f>
        <v>160</v>
      </c>
      <c r="J236" s="66">
        <f ca="1">IFERROR(__xludf.DUMMYFUNCTION("IMPORTRANGE(""https://docs.google.com/spreadsheets/d/1AGHcLOeeYFL3K4b9R1dSzyJy00PE_ra89DNTVfnxSWM/edit?usp=sharing"",""รวมที่ทำกิน!O49"")"),0)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IFERROR(__xludf.DUMMYFUNCTION("IMPORTRANGE(""https://docs.google.com/spreadsheets/d/1AGHcLOeeYFL3K4b9R1dSzyJy00PE_ra89DNTVfnxSWM/edit?usp=sharing"",""รวมที่ทำกิน!Q49"")"),0)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IFERROR(__xludf.DUMMYFUNCTION("IMPORTRANGE(""https://docs.google.com/spreadsheets/d/1C3CXT74ZlgGe6_JY_1olB1XN4rF0dxEuIIF-xsYjHgg/edit?usp=sharing"",""พรบ!CB60"")"),160)</f>
        <v>160</v>
      </c>
      <c r="J238" s="66">
        <f ca="1">IFERROR(__xludf.DUMMYFUNCTION("IMPORTRANGE(""https://docs.google.com/spreadsheets/d/1AGHcLOeeYFL3K4b9R1dSzyJy00PE_ra89DNTVfnxSWM/edit?usp=sharing"",""รวมที่ทำกิน!S49"")"),0)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IFERROR(__xludf.DUMMYFUNCTION("IMPORTRANGE(""https://docs.google.com/spreadsheets/d/1AGHcLOeeYFL3K4b9R1dSzyJy00PE_ra89DNTVfnxSWM/edit?usp=sharing"",""รวมที่ทำกิน!U49"")"),0)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IFERROR(__xludf.DUMMYFUNCTION("IMPORTRANGE(""https://docs.google.com/spreadsheets/d/1C3CXT74ZlgGe6_JY_1olB1XN4rF0dxEuIIF-xsYjHgg/edit?usp=sharing"",""พรบ!CC60"")"),160)</f>
        <v>160</v>
      </c>
      <c r="J240" s="66">
        <f ca="1">IFERROR(__xludf.DUMMYFUNCTION("IMPORTRANGE(""https://docs.google.com/spreadsheets/d/1AGHcLOeeYFL3K4b9R1dSzyJy00PE_ra89DNTVfnxSWM/edit?usp=sharing"",""รวมที่ทำกิน!W49"")"),0)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IFERROR(__xludf.DUMMYFUNCTION("IMPORTRANGE(""https://docs.google.com/spreadsheets/d/1AGHcLOeeYFL3K4b9R1dSzyJy00PE_ra89DNTVfnxSWM/edit?usp=sharing"",""รวมที่ทำกิน!Y49"")"),0)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1027223</v>
      </c>
      <c r="M242" s="213">
        <f t="shared" si="53"/>
        <v>20626</v>
      </c>
      <c r="N242" s="213">
        <f ca="1">+IF(L242&gt;0,M242*100/L242,0)</f>
        <v>2.0079379063747598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IFERROR(__xludf.DUMMYFUNCTION("IMPORTRANGE(""https://docs.google.com/spreadsheets/d/1C3CXT74ZlgGe6_JY_1olB1XN4rF0dxEuIIF-xsYjHgg/edit?usp=sharing"",""งบกองทุน!d60"")"),0)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IFERROR(__xludf.DUMMYFUNCTION("IMPORTRANGE(""https://docs.google.com/spreadsheets/d/1C3CXT74ZlgGe6_JY_1olB1XN4rF0dxEuIIF-xsYjHgg/edit?usp=sharing"",""งบกองทุน!e60"")"),0)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IFERROR(__xludf.DUMMYFUNCTION("IMPORTRANGE(""https://docs.google.com/spreadsheets/d/1C3CXT74ZlgGe6_JY_1olB1XN4rF0dxEuIIF-xsYjHgg/edit?usp=sharing"",""งบกองทุน!f60"")"),0)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232">
        <f t="shared" ref="K262:K268" ca="1" si="60">IF(I262&gt;0,J262*100/I262,0)</f>
        <v>0</v>
      </c>
      <c r="L262" s="52"/>
      <c r="M262" s="52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IFERROR(__xludf.DUMMYFUNCTION("IMPORTRANGE(""https://docs.google.com/spreadsheets/d/1C3CXT74ZlgGe6_JY_1olB1XN4rF0dxEuIIF-xsYjHgg/edit?usp=sharing"",""งบกองทุน!H60"")"),0)</f>
        <v>0</v>
      </c>
      <c r="J263" s="66">
        <f>J267</f>
        <v>0</v>
      </c>
      <c r="K263" s="232">
        <f t="shared" ca="1" si="60"/>
        <v>0</v>
      </c>
      <c r="L263" s="52"/>
      <c r="M263" s="52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IFERROR(__xludf.DUMMYFUNCTION("IMPORTRANGE(""https://docs.google.com/spreadsheets/d/1C3CXT74ZlgGe6_JY_1olB1XN4rF0dxEuIIF-xsYjHgg/edit?usp=sharing"",""งบกองทุน!i60"")"),0)</f>
        <v>0</v>
      </c>
      <c r="J264" s="66">
        <v>0</v>
      </c>
      <c r="K264" s="232">
        <f t="shared" ca="1" si="60"/>
        <v>0</v>
      </c>
      <c r="L264" s="52"/>
      <c r="M264" s="52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232">
        <f t="shared" ca="1" si="60"/>
        <v>0</v>
      </c>
      <c r="L265" s="52"/>
      <c r="M265" s="52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IFERROR(__xludf.DUMMYFUNCTION("IMPORTRANGE(""https://docs.google.com/spreadsheets/d/1C3CXT74ZlgGe6_JY_1olB1XN4rF0dxEuIIF-xsYjHgg/edit?usp=sharing"",""งบกองทุน!k60"")"),0)</f>
        <v>0</v>
      </c>
      <c r="J266" s="66">
        <v>0</v>
      </c>
      <c r="K266" s="232">
        <f t="shared" ca="1" si="60"/>
        <v>0</v>
      </c>
      <c r="L266" s="52"/>
      <c r="M266" s="52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232">
        <f t="shared" ca="1" si="60"/>
        <v>0</v>
      </c>
      <c r="L267" s="52"/>
      <c r="M267" s="52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IFERROR(__xludf.DUMMYFUNCTION("IMPORTRANGE(""https://docs.google.com/spreadsheets/d/1C3CXT74ZlgGe6_JY_1olB1XN4rF0dxEuIIF-xsYjHgg/edit?usp=sharing"",""งบกองทุน!m60"")"),0)</f>
        <v>0</v>
      </c>
      <c r="J268" s="66">
        <v>0</v>
      </c>
      <c r="K268" s="232">
        <f t="shared" ca="1" si="60"/>
        <v>0</v>
      </c>
      <c r="L268" s="52"/>
      <c r="M268" s="52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232"/>
      <c r="L269" s="52"/>
      <c r="M269" s="52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232">
        <f t="shared" ref="K270:K272" ca="1" si="62">IF(I270&gt;0,J270*100/I270,0)</f>
        <v>0</v>
      </c>
      <c r="L270" s="52"/>
      <c r="M270" s="52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IFERROR(__xludf.DUMMYFUNCTION("IMPORTRANGE(""https://docs.google.com/spreadsheets/d/1C3CXT74ZlgGe6_JY_1olB1XN4rF0dxEuIIF-xsYjHgg/edit?usp=sharing"",""งบกองทุน!o60"")"),0)</f>
        <v>0</v>
      </c>
      <c r="J271" s="66">
        <v>0</v>
      </c>
      <c r="K271" s="232">
        <f t="shared" ca="1" si="62"/>
        <v>0</v>
      </c>
      <c r="L271" s="52"/>
      <c r="M271" s="52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IFERROR(__xludf.DUMMYFUNCTION("IMPORTRANGE(""https://docs.google.com/spreadsheets/d/1C3CXT74ZlgGe6_JY_1olB1XN4rF0dxEuIIF-xsYjHgg/edit?usp=sharing"",""งบกองทุน!p60"")"),0)</f>
        <v>0</v>
      </c>
      <c r="J272" s="66">
        <v>0</v>
      </c>
      <c r="K272" s="232">
        <f t="shared" ca="1" si="62"/>
        <v>0</v>
      </c>
      <c r="L272" s="52"/>
      <c r="M272" s="52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232"/>
      <c r="L273" s="52"/>
      <c r="M273" s="52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232"/>
      <c r="L274" s="52"/>
      <c r="M274" s="52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500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460140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50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460140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IFERROR(__xludf.DUMMYFUNCTION("IMPORTRANGE(""https://docs.google.com/spreadsheets/d/1C3CXT74ZlgGe6_JY_1olB1XN4rF0dxEuIIF-xsYjHgg/edit?usp=sharing"",""งบกองทุน!r60"")"),0)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IFERROR(__xludf.DUMMYFUNCTION("IMPORTRANGE(""https://docs.google.com/spreadsheets/d/1C3CXT74ZlgGe6_JY_1olB1XN4rF0dxEuIIF-xsYjHgg/edit?usp=sharing"",""งบกองทุน!s60"")"),460140)</f>
        <v>460140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1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IFERROR(__xludf.DUMMYFUNCTION("IMPORTRANGE(""https://docs.google.com/spreadsheets/d/1C3CXT74ZlgGe6_JY_1olB1XN4rF0dxEuIIF-xsYjHgg/edit?usp=sharing"",""งบกองทุน!v60"")"),50)</f>
        <v>50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IFERROR(__xludf.DUMMYFUNCTION("IMPORTRANGE(""https://docs.google.com/spreadsheets/d/1C3CXT74ZlgGe6_JY_1olB1XN4rF0dxEuIIF-xsYjHgg/edit?usp=sharing"",""งบกองทุน!w60"")"),500)</f>
        <v>500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IFERROR(__xludf.DUMMYFUNCTION("IMPORTRANGE(""https://docs.google.com/spreadsheets/d/1C3CXT74ZlgGe6_JY_1olB1XN4rF0dxEuIIF-xsYjHgg/edit?usp=sharing"",""งบกองทุน!x60"")"),50)</f>
        <v>50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120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144560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40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144560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IFERROR(__xludf.DUMMYFUNCTION("IMPORTRANGE(""https://docs.google.com/spreadsheets/d/1C3CXT74ZlgGe6_JY_1olB1XN4rF0dxEuIIF-xsYjHgg/edit?usp=sharing"",""งบกองทุน!z60"")"),0)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IFERROR(__xludf.DUMMYFUNCTION("IMPORTRANGE(""https://docs.google.com/spreadsheets/d/1C3CXT74ZlgGe6_JY_1olB1XN4rF0dxEuIIF-xsYjHgg/edit?usp=sharing"",""งบกองทุน!aa60"")"),144560)</f>
        <v>144560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40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IFERROR(__xludf.DUMMYFUNCTION("IMPORTRANGE(""https://docs.google.com/spreadsheets/d/1C3CXT74ZlgGe6_JY_1olB1XN4rF0dxEuIIF-xsYjHgg/edit?usp=sharing"",""งบกองทุน!ae60"")"),10)</f>
        <v>10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IFERROR(__xludf.DUMMYFUNCTION("IMPORTRANGE(""https://docs.google.com/spreadsheets/d/1C3CXT74ZlgGe6_JY_1olB1XN4rF0dxEuIIF-xsYjHgg/edit?usp=sharing"",""งบกองทุน!ad60"")"),30)</f>
        <v>30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IFERROR(__xludf.DUMMYFUNCTION("IMPORTRANGE(""https://docs.google.com/spreadsheets/d/1C3CXT74ZlgGe6_JY_1olB1XN4rF0dxEuIIF-xsYjHgg/edit?usp=sharing"",""งบกองทุน!af60"")"),10)</f>
        <v>10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IFERROR(__xludf.DUMMYFUNCTION("IMPORTRANGE(""https://docs.google.com/spreadsheets/d/1C3CXT74ZlgGe6_JY_1olB1XN4rF0dxEuIIF-xsYjHgg/edit?usp=sharing"",""งบกองทุน!ag60"")"),10)</f>
        <v>10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IFERROR(__xludf.DUMMYFUNCTION("IMPORTRANGE(""https://docs.google.com/spreadsheets/d/1C3CXT74ZlgGe6_JY_1olB1XN4rF0dxEuIIF-xsYjHgg/edit?usp=sharing"",""งบกองทุน!ai60"")"),20)</f>
        <v>20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IFERROR(__xludf.DUMMYFUNCTION("IMPORTRANGE(""https://docs.google.com/spreadsheets/d/1C3CXT74ZlgGe6_JY_1olB1XN4rF0dxEuIIF-xsYjHgg/edit?usp=sharing"",""งบกองทุน!ah60"")"),60)</f>
        <v>60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IFERROR(__xludf.DUMMYFUNCTION("IMPORTRANGE(""https://docs.google.com/spreadsheets/d/1C3CXT74ZlgGe6_JY_1olB1XN4rF0dxEuIIF-xsYjHgg/edit?usp=sharing"",""งบกองทุน!aj60"")"),20)</f>
        <v>20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IFERROR(__xludf.DUMMYFUNCTION("IMPORTRANGE(""https://docs.google.com/spreadsheets/d/1C3CXT74ZlgGe6_JY_1olB1XN4rF0dxEuIIF-xsYjHgg/edit?usp=sharing"",""งบกองทุน!ak60"")"),20)</f>
        <v>20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IFERROR(__xludf.DUMMYFUNCTION("IMPORTRANGE(""https://docs.google.com/spreadsheets/d/1C3CXT74ZlgGe6_JY_1olB1XN4rF0dxEuIIF-xsYjHgg/edit?usp=sharing"",""งบกองทุน!al60"")"),20)</f>
        <v>20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IFERROR(__xludf.DUMMYFUNCTION("IMPORTRANGE(""https://docs.google.com/spreadsheets/d/1C3CXT74ZlgGe6_JY_1olB1XN4rF0dxEuIIF-xsYjHgg/edit?usp=sharing"",""งบกองทุน!an60"")"),10)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IFERROR(__xludf.DUMMYFUNCTION("IMPORTRANGE(""https://docs.google.com/spreadsheets/d/1C3CXT74ZlgGe6_JY_1olB1XN4rF0dxEuIIF-xsYjHgg/edit?usp=sharing"",""งบกองทุน!am60"")"),30)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IFERROR(__xludf.DUMMYFUNCTION("IMPORTRANGE(""https://docs.google.com/spreadsheets/d/1C3CXT74ZlgGe6_JY_1olB1XN4rF0dxEuIIF-xsYjHgg/edit?usp=sharing"",""งบกองทุน!ao60"")"),10)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IFERROR(__xludf.DUMMYFUNCTION("IMPORTRANGE(""https://docs.google.com/spreadsheets/d/1C3CXT74ZlgGe6_JY_1olB1XN4rF0dxEuIIF-xsYjHgg/edit?usp=sharing"",""งบกองทุน!ap60"")"),10)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30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IFERROR(__xludf.DUMMYFUNCTION("IMPORTRANGE(""https://docs.google.com/spreadsheets/d/1C3CXT74ZlgGe6_JY_1olB1XN4rF0dxEuIIF-xsYjHgg/edit?usp=sharing"",""งบกองทุน!ar60"")"),10)</f>
        <v>10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IFERROR(__xludf.DUMMYFUNCTION("IMPORTRANGE(""https://docs.google.com/spreadsheets/d/1C3CXT74ZlgGe6_JY_1olB1XN4rF0dxEuIIF-xsYjHgg/edit?usp=sharing"",""งบกองทุน!as60"")"),20)</f>
        <v>20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95000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IFERROR(__xludf.DUMMYFUNCTION("IMPORTRANGE(""https://docs.google.com/spreadsheets/d/1C3CXT74ZlgGe6_JY_1olB1XN4rF0dxEuIIF-xsYjHgg/edit?usp=sharing"",""งบกองทุน!au60"")"),0)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IFERROR(__xludf.DUMMYFUNCTION("IMPORTRANGE(""https://docs.google.com/spreadsheets/d/1C3CXT74ZlgGe6_JY_1olB1XN4rF0dxEuIIF-xsYjHgg/edit?usp=sharing"",""งบกองทุน!av60"")"),95000)</f>
        <v>95000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20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IFERROR(__xludf.DUMMYFUNCTION("IMPORTRANGE(""https://docs.google.com/spreadsheets/d/1C3CXT74ZlgGe6_JY_1olB1XN4rF0dxEuIIF-xsYjHgg/edit?usp=sharing"",""งบกองทุน!ay60"")"),20)</f>
        <v>20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IFERROR(__xludf.DUMMYFUNCTION("IMPORTRANGE(""https://docs.google.com/spreadsheets/d/1C3CXT74ZlgGe6_JY_1olB1XN4rF0dxEuIIF-xsYjHgg/edit?usp=sharing"",""งบกองทุน!az60"")"),0)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IFERROR(__xludf.DUMMYFUNCTION("IMPORTRANGE(""https://docs.google.com/spreadsheets/d/1C3CXT74ZlgGe6_JY_1olB1XN4rF0dxEuIIF-xsYjHgg/edit?usp=sharing"",""งบกองทุน!Ba60"")"),0)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17519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162553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162553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IFERROR(__xludf.DUMMYFUNCTION("IMPORTRANGE(""https://docs.google.com/spreadsheets/d/1C3CXT74ZlgGe6_JY_1olB1XN4rF0dxEuIIF-xsYjHgg/edit?usp=sharing"",""งบกองทุน!Bc60"")"),0)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IFERROR(__xludf.DUMMYFUNCTION("IMPORTRANGE(""https://docs.google.com/spreadsheets/d/1C3CXT74ZlgGe6_JY_1olB1XN4rF0dxEuIIF-xsYjHgg/edit?usp=sharing"",""งบกองทุน!Bd60"")"),162553)</f>
        <v>162553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IFERROR(__xludf.DUMMYFUNCTION("IMPORTRANGE(""https://docs.google.com/spreadsheets/d/1C3CXT74ZlgGe6_JY_1olB1XN4rF0dxEuIIF-xsYjHgg/edit?usp=sharing"",""งบกองทุน!BE60"")"),17519)</f>
        <v>17519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IFERROR(__xludf.DUMMYFUNCTION("IMPORTRANGE(""https://docs.google.com/spreadsheets/d/1C3CXT74ZlgGe6_JY_1olB1XN4rF0dxEuIIF-xsYjHgg/edit?usp=sharing"",""งบกองทุน!BE60"")"),17519)</f>
        <v>17519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IFERROR(__xludf.DUMMYFUNCTION("IMPORTRANGE(""https://docs.google.com/spreadsheets/d/1C3CXT74ZlgGe6_JY_1olB1XN4rF0dxEuIIF-xsYjHgg/edit?usp=sharing"",""งบกองทุน!Bf60"")"),1421)</f>
        <v>1421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17519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1421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17519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1421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IFERROR(__xludf.DUMMYFUNCTION("IMPORTRANGE(""https://docs.google.com/spreadsheets/d/1C3CXT74ZlgGe6_JY_1olB1XN4rF0dxEuIIF-xsYjHgg/edit?usp=sharing"",""งบกองทุน!cd60"")"),784)</f>
        <v>784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IFERROR(__xludf.DUMMYFUNCTION("IMPORTRANGE(""https://docs.google.com/spreadsheets/d/1C3CXT74ZlgGe6_JY_1olB1XN4rF0dxEuIIF-xsYjHgg/edit?usp=sharing"",""งบกองทุน!cd60"")"),784)</f>
        <v>784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IFERROR(__xludf.DUMMYFUNCTION("IMPORTRANGE(""https://docs.google.com/spreadsheets/d/1C3CXT74ZlgGe6_JY_1olB1XN4rF0dxEuIIF-xsYjHgg/edit?usp=sharing"",""งบกองทุน!cc60"")"),73)</f>
        <v>73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IFERROR(__xludf.DUMMYFUNCTION("IMPORTRANGE(""https://docs.google.com/spreadsheets/d/1C3CXT74ZlgGe6_JY_1olB1XN4rF0dxEuIIF-xsYjHgg/edit?usp=sharing"",""งบกองทุน!cz60"")"),0)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IFERROR(__xludf.DUMMYFUNCTION("IMPORTRANGE(""https://docs.google.com/spreadsheets/d/1C3CXT74ZlgGe6_JY_1olB1XN4rF0dxEuIIF-xsYjHgg/edit?usp=sharing"",""งบกองทุน!cz60"")"),0)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IFERROR(__xludf.DUMMYFUNCTION("IMPORTRANGE(""https://docs.google.com/spreadsheets/d/1C3CXT74ZlgGe6_JY_1olB1XN4rF0dxEuIIF-xsYjHgg/edit?usp=sharing"",""งบกองทุน!cy60"")"),0)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IFERROR(__xludf.DUMMYFUNCTION("IMPORTRANGE(""https://docs.google.com/spreadsheets/d/1C3CXT74ZlgGe6_JY_1olB1XN4rF0dxEuIIF-xsYjHgg/edit?usp=sharing"",""งบกองทุน!db60"")"),0)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IFERROR(__xludf.DUMMYFUNCTION("IMPORTRANGE(""https://docs.google.com/spreadsheets/d/1C3CXT74ZlgGe6_JY_1olB1XN4rF0dxEuIIF-xsYjHgg/edit?usp=sharing"",""งบกองทุน!da60"")"),0)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IFERROR(__xludf.DUMMYFUNCTION("IMPORTRANGE(""https://docs.google.com/spreadsheets/d/1C3CXT74ZlgGe6_JY_1olB1XN4rF0dxEuIIF-xsYjHgg/edit?usp=sharing"",""งบกองทุน!dd60"")"),0)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IFERROR(__xludf.DUMMYFUNCTION("IMPORTRANGE(""https://docs.google.com/spreadsheets/d/1C3CXT74ZlgGe6_JY_1olB1XN4rF0dxEuIIF-xsYjHgg/edit?usp=sharing"",""งบกองทุน!dc60"")"),0)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IFERROR(__xludf.DUMMYFUNCTION("IMPORTRANGE(""https://docs.google.com/spreadsheets/d/1C3CXT74ZlgGe6_JY_1olB1XN4rF0dxEuIIF-xsYjHgg/edit?usp=sharing"",""งบกองทุน!df60"")"),0)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IFERROR(__xludf.DUMMYFUNCTION("IMPORTRANGE(""https://docs.google.com/spreadsheets/d/1C3CXT74ZlgGe6_JY_1olB1XN4rF0dxEuIIF-xsYjHgg/edit?usp=sharing"",""งบกองทุน!de60"")"),0)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22</v>
      </c>
      <c r="K426" s="258">
        <f ca="1">IF(I426&gt;0,J426*100/I426,0)</f>
        <v>100</v>
      </c>
      <c r="L426" s="259">
        <f t="shared" ref="L426:M426" ca="1" si="92">SUM(L427:L428)</f>
        <v>34340</v>
      </c>
      <c r="M426" s="259">
        <f t="shared" si="92"/>
        <v>19976</v>
      </c>
      <c r="N426" s="259">
        <f t="shared" ref="N426:N430" ca="1" si="93">+IF(L426&gt;0,M426*100/L426,0)</f>
        <v>58.171228887594644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19976</v>
      </c>
      <c r="N428" s="52">
        <f t="shared" ca="1" si="93"/>
        <v>58.171228887594644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IFERROR(__xludf.DUMMYFUNCTION("IMPORTRANGE(""https://docs.google.com/spreadsheets/d/1C3CXT74ZlgGe6_JY_1olB1XN4rF0dxEuIIF-xsYjHgg/edit?usp=sharing"",""งบกองทุน!dn60"")"),0)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IFERROR(__xludf.DUMMYFUNCTION("IMPORTRANGE(""https://docs.google.com/spreadsheets/d/1C3CXT74ZlgGe6_JY_1olB1XN4rF0dxEuIIF-xsYjHgg/edit?usp=sharing"",""งบกองทุน!do60"")"),34340)</f>
        <v>34340</v>
      </c>
      <c r="M430" s="52">
        <f>SUM(M431:M434)</f>
        <v>19976</v>
      </c>
      <c r="N430" s="52">
        <f t="shared" ca="1" si="93"/>
        <v>58.171228887594644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14680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5296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IFERROR(__xludf.DUMMYFUNCTION("IMPORTRANGE(""https://docs.google.com/spreadsheets/d/1C3CXT74ZlgGe6_JY_1olB1XN4rF0dxEuIIF-xsYjHgg/edit?usp=sharing"",""งบกองทุน!dq60"")"),22)</f>
        <v>22</v>
      </c>
      <c r="J440" s="67">
        <v>22</v>
      </c>
      <c r="K440" s="48">
        <f t="shared" ref="K440:K441" ca="1" si="95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IFERROR(__xludf.DUMMYFUNCTION("IMPORTRANGE(""https://docs.google.com/spreadsheets/d/1C3CXT74ZlgGe6_JY_1olB1XN4rF0dxEuIIF-xsYjHgg/edit?usp=sharing"",""งบกองทุน!dr60"")"),22)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IFERROR(__xludf.DUMMYFUNCTION("IMPORTRANGE(""https://docs.google.com/spreadsheets/d/1C3CXT74ZlgGe6_JY_1olB1XN4rF0dxEuIIF-xsYjHgg/edit?usp=sharing"",""งบกองทุน!dt60"")"),0)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IFERROR(__xludf.DUMMYFUNCTION("IMPORTRANGE(""https://docs.google.com/spreadsheets/d/1C3CXT74ZlgGe6_JY_1olB1XN4rF0dxEuIIF-xsYjHgg/edit?usp=sharing"",""งบกองทุน!du60"")"),0)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IFERROR(__xludf.DUMMYFUNCTION("IMPORTRANGE(""https://docs.google.com/spreadsheets/d/1C3CXT74ZlgGe6_JY_1olB1XN4rF0dxEuIIF-xsYjHgg/edit?usp=sharing"",""งบกองทุน!dw60"")"),0)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IFERROR(__xludf.DUMMYFUNCTION("IMPORTRANGE(""https://docs.google.com/spreadsheets/d/1C3CXT74ZlgGe6_JY_1olB1XN4rF0dxEuIIF-xsYjHgg/edit?usp=sharing"",""งบกองทุน!dx60"")"),0)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IFERROR(__xludf.DUMMYFUNCTION("IMPORTRANGE(""https://docs.google.com/spreadsheets/d/1C3CXT74ZlgGe6_JY_1olB1XN4rF0dxEuIIF-xsYjHgg/edit?usp=sharing"",""งบกองทุน!dy60"")"),0)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IFERROR(__xludf.DUMMYFUNCTION("IMPORTRANGE(""https://docs.google.com/spreadsheets/d/1C3CXT74ZlgGe6_JY_1olB1XN4rF0dxEuIIF-xsYjHgg/edit?usp=sharing"",""งบกองทุน!dz60"")"),0)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700</v>
      </c>
      <c r="J457" s="226">
        <f>+J466</f>
        <v>170</v>
      </c>
      <c r="K457" s="227">
        <f t="shared" ca="1" si="100"/>
        <v>24.285714285714285</v>
      </c>
      <c r="L457" s="228">
        <f t="shared" ref="L457:M457" ca="1" si="101">SUM(L458:L459)</f>
        <v>126080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126080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IFERROR(__xludf.DUMMYFUNCTION("IMPORTRANGE(""https://docs.google.com/spreadsheets/d/1C3CXT74ZlgGe6_JY_1olB1XN4rF0dxEuIIF-xsYjHgg/edit?usp=sharing"",""งบกองทุน!Eb60"")"),0)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IFERROR(__xludf.DUMMYFUNCTION("IMPORTRANGE(""https://docs.google.com/spreadsheets/d/1C3CXT74ZlgGe6_JY_1olB1XN4rF0dxEuIIF-xsYjHgg/edit?usp=sharing"",""งบกองทุน!Ec60"")"),126080)</f>
        <v>126080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IFERROR(__xludf.DUMMYFUNCTION("IMPORTRANGE(""https://docs.google.com/spreadsheets/d/1C3CXT74ZlgGe6_JY_1olB1XN4rF0dxEuIIF-xsYjHgg/edit?usp=sharing"",""งบกองทุน!Ed60"")"),700)</f>
        <v>700</v>
      </c>
      <c r="J466" s="265">
        <f>+J469+J470+J471+J472</f>
        <v>170</v>
      </c>
      <c r="K466" s="79">
        <f ca="1">IF(I466&gt;0,J466*100/I466,0)</f>
        <v>24.285714285714285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168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2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/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IFERROR(__xludf.DUMMYFUNCTION("IMPORTRANGE(""https://docs.google.com/spreadsheets/d/1C3CXT74ZlgGe6_JY_1olB1XN4rF0dxEuIIF-xsYjHgg/edit?usp=sharing"",""งบกองทุน!Ek60"")"),0)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IFERROR(__xludf.DUMMYFUNCTION("IMPORTRANGE(""https://docs.google.com/spreadsheets/d/1C3CXT74ZlgGe6_JY_1olB1XN4rF0dxEuIIF-xsYjHgg/edit?usp=sharing"",""งบกองทุน!El60"")"),0)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IFERROR(__xludf.DUMMYFUNCTION("IMPORTRANGE(""https://docs.google.com/spreadsheets/d/1C3CXT74ZlgGe6_JY_1olB1XN4rF0dxEuIIF-xsYjHgg/edit?usp=sharing"",""งบกองทุน!Em60"")"),0)</f>
        <v>0</v>
      </c>
      <c r="J482" s="66">
        <f ca="1">IFERROR(__xludf.DUMMYFUNCTION("IMPORTRANGE(""https://docs.google.com/spreadsheets/d/1AGHcLOeeYFL3K4b9R1dSzyJy00PE_ra89DNTVfnxSWM/edit?usp=sharing"",""รวมที่ชุมชน!G49"")"),0)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IFERROR(__xludf.DUMMYFUNCTION("IMPORTRANGE(""https://docs.google.com/spreadsheets/d/1C3CXT74ZlgGe6_JY_1olB1XN4rF0dxEuIIF-xsYjHgg/edit?usp=sharing"",""งบกองทุน!En60"")"),0)</f>
        <v>0</v>
      </c>
      <c r="J483" s="66">
        <f ca="1">IFERROR(__xludf.DUMMYFUNCTION("IMPORTRANGE(""https://docs.google.com/spreadsheets/d/1AGHcLOeeYFL3K4b9R1dSzyJy00PE_ra89DNTVfnxSWM/edit?usp=sharing"",""รวมที่ชุมชน!H49"")"),0)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IFERROR(__xludf.DUMMYFUNCTION("IMPORTRANGE(""https://docs.google.com/spreadsheets/d/1C3CXT74ZlgGe6_JY_1olB1XN4rF0dxEuIIF-xsYjHgg/edit?usp=sharing"",""งบกองทุน!Eo60"")"),0)</f>
        <v>0</v>
      </c>
      <c r="J484" s="66">
        <f ca="1">IFERROR(__xludf.DUMMYFUNCTION("IMPORTRANGE(""https://docs.google.com/spreadsheets/d/1AGHcLOeeYFL3K4b9R1dSzyJy00PE_ra89DNTVfnxSWM/edit?usp=sharing"",""รวมที่ชุมชน!J49"")"),0)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IFERROR(__xludf.DUMMYFUNCTION("IMPORTRANGE(""https://docs.google.com/spreadsheets/d/1C3CXT74ZlgGe6_JY_1olB1XN4rF0dxEuIIF-xsYjHgg/edit?usp=sharing"",""งบกองทุน!Ep60"")"),0)</f>
        <v>0</v>
      </c>
      <c r="J485" s="66">
        <f ca="1">IFERROR(__xludf.DUMMYFUNCTION("IMPORTRANGE(""https://docs.google.com/spreadsheets/d/1AGHcLOeeYFL3K4b9R1dSzyJy00PE_ra89DNTVfnxSWM/edit?usp=sharing"",""รวมที่ชุมชน!L49"")"),0)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IFERROR(__xludf.DUMMYFUNCTION("IMPORTRANGE(""https://docs.google.com/spreadsheets/d/1C3CXT74ZlgGe6_JY_1olB1XN4rF0dxEuIIF-xsYjHgg/edit?usp=sharing"",""งบกองทุน!Eq60"")"),0)</f>
        <v>0</v>
      </c>
      <c r="J486" s="66">
        <f ca="1">IFERROR(__xludf.DUMMYFUNCTION("IMPORTRANGE(""https://docs.google.com/spreadsheets/d/1AGHcLOeeYFL3K4b9R1dSzyJy00PE_ra89DNTVfnxSWM/edit?usp=sharing"",""รวมที่ชุมชน!S49"")"),0)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IFERROR(__xludf.DUMMYFUNCTION("IMPORTRANGE(""https://docs.google.com/spreadsheets/d/1C3CXT74ZlgGe6_JY_1olB1XN4rF0dxEuIIF-xsYjHgg/edit?usp=sharing"",""งบกองทุน!Er60"")"),0)</f>
        <v>0</v>
      </c>
      <c r="J487" s="66">
        <f ca="1">IFERROR(__xludf.DUMMYFUNCTION("IMPORTRANGE(""https://docs.google.com/spreadsheets/d/1AGHcLOeeYFL3K4b9R1dSzyJy00PE_ra89DNTVfnxSWM/edit?usp=sharing"",""รวมที่ชุมชน!U49"")"),0)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IFERROR(__xludf.DUMMYFUNCTION("IMPORTRANGE(""https://docs.google.com/spreadsheets/d/1C3CXT74ZlgGe6_JY_1olB1XN4rF0dxEuIIF-xsYjHgg/edit?usp=sharing"",""งบกองทุน!Es60"")"),0)</f>
        <v>0</v>
      </c>
      <c r="J488" s="66">
        <f ca="1">IFERROR(__xludf.DUMMYFUNCTION("IMPORTRANGE(""https://docs.google.com/spreadsheets/d/1AGHcLOeeYFL3K4b9R1dSzyJy00PE_ra89DNTVfnxSWM/edit?usp=sharing"",""รวมที่ชุมชน!V49"")"),0)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IFERROR(__xludf.DUMMYFUNCTION("IMPORTRANGE(""https://docs.google.com/spreadsheets/d/1C3CXT74ZlgGe6_JY_1olB1XN4rF0dxEuIIF-xsYjHgg/edit?usp=sharing"",""งบกองทุน!Et60"")"),0)</f>
        <v>0</v>
      </c>
      <c r="J489" s="111">
        <f ca="1">IFERROR(__xludf.DUMMYFUNCTION("IMPORTRANGE(""https://docs.google.com/spreadsheets/d/1AGHcLOeeYFL3K4b9R1dSzyJy00PE_ra89DNTVfnxSWM/edit?usp=sharing"",""รวมที่ชุมชน!X49"")"),0)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650</v>
      </c>
      <c r="N490" s="259">
        <f t="shared" ref="N490:N494" ca="1" si="109">+IF(L490&gt;0,M490*100/L490,0)</f>
        <v>14.285714285714286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650</v>
      </c>
      <c r="N492" s="52">
        <f t="shared" ca="1" si="109"/>
        <v>14.285714285714286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IFERROR(__xludf.DUMMYFUNCTION("IMPORTRANGE(""https://docs.google.com/spreadsheets/d/1C3CXT74ZlgGe6_JY_1olB1XN4rF0dxEuIIF-xsYjHgg/edit?usp=sharing"",""งบกองทุน!Ev60"")"),0)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IFERROR(__xludf.DUMMYFUNCTION("IMPORTRANGE(""https://docs.google.com/spreadsheets/d/1C3CXT74ZlgGe6_JY_1olB1XN4rF0dxEuIIF-xsYjHgg/edit?usp=sharing"",""งบกองทุน!Ew60"")"),4550)</f>
        <v>4550</v>
      </c>
      <c r="M494" s="52">
        <f>SUM(M495:M498)</f>
        <v>650</v>
      </c>
      <c r="N494" s="52">
        <f t="shared" ca="1" si="109"/>
        <v>14.285714285714286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650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IFERROR(__xludf.DUMMYFUNCTION("IMPORTRANGE(""https://docs.google.com/spreadsheets/d/1C3CXT74ZlgGe6_JY_1olB1XN4rF0dxEuIIF-xsYjHgg/edit?usp=sharing"",""งบกองทุน!EZ60"")"),50)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IFERROR(__xludf.DUMMYFUNCTION("IMPORTRANGE(""https://docs.google.com/spreadsheets/d/1C3CXT74ZlgGe6_JY_1olB1XN4rF0dxEuIIF-xsYjHgg/edit?usp=sharing"",""งบกองทุน!ff60"")"),0)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IFERROR(__xludf.DUMMYFUNCTION("IMPORTRANGE(""https://docs.google.com/spreadsheets/d/1muirlRDkqiswvy_NRZ3Yh955hx-PF6_HhssUYiSJj8o/edit?usp=sharing"",""กองทุน!D60"")"),7886000)</f>
        <v>7886000</v>
      </c>
      <c r="J521" s="199">
        <f ca="1">IFERROR(__xludf.DUMMYFUNCTION("IMPORTRANGE(""https://docs.google.com/spreadsheets/d/1muirlRDkqiswvy_NRZ3Yh955hx-PF6_HhssUYiSJj8o/edit?usp=sharing"",""กองทุน!F60"")"),0)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IFERROR(__xludf.DUMMYFUNCTION("IMPORTRANGE(""https://docs.google.com/spreadsheets/d/1muirlRDkqiswvy_NRZ3Yh955hx-PF6_HhssUYiSJj8o/edit?usp=sharing"",""กองทุน!C60"")"),395)</f>
        <v>395</v>
      </c>
      <c r="J522" s="199">
        <f ca="1">IFERROR(__xludf.DUMMYFUNCTION("IMPORTRANGE(""https://docs.google.com/spreadsheets/d/1muirlRDkqiswvy_NRZ3Yh955hx-PF6_HhssUYiSJj8o/edit?usp=sharing"",""กองทุน!E60"")"),0)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IFERROR(__xludf.DUMMYFUNCTION("IMPORTRANGE(""https://docs.google.com/spreadsheets/d/1muirlRDkqiswvy_NRZ3Yh955hx-PF6_HhssUYiSJj8o/edit?usp=sharing"",""กองทุน!I60"")"),16588437.2599999)</f>
        <v>16588437.259999899</v>
      </c>
      <c r="J523" s="199">
        <f ca="1">IFERROR(__xludf.DUMMYFUNCTION("IMPORTRANGE(""https://docs.google.com/spreadsheets/d/1muirlRDkqiswvy_NRZ3Yh955hx-PF6_HhssUYiSJj8o/edit?usp=sharing"",""กองทุน!K60"")"),36610.8)</f>
        <v>36610.800000000003</v>
      </c>
      <c r="K523" s="200">
        <f t="shared" ca="1" si="116"/>
        <v>0.22070071716930512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IFERROR(__xludf.DUMMYFUNCTION("IMPORTRANGE(""https://docs.google.com/spreadsheets/d/1muirlRDkqiswvy_NRZ3Yh955hx-PF6_HhssUYiSJj8o/edit?usp=sharing"",""กองทุน!H60"")"),368)</f>
        <v>368</v>
      </c>
      <c r="J524" s="199">
        <f ca="1">IFERROR(__xludf.DUMMYFUNCTION("IMPORTRANGE(""https://docs.google.com/spreadsheets/d/1muirlRDkqiswvy_NRZ3Yh955hx-PF6_HhssUYiSJj8o/edit?usp=sharing"",""กองทุน!J60"")"),10)</f>
        <v>10</v>
      </c>
      <c r="K524" s="200">
        <f t="shared" ca="1" si="116"/>
        <v>2.7173913043478262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IFERROR(__xludf.DUMMYFUNCTION("IMPORTRANGE(""https://docs.google.com/spreadsheets/d/1muirlRDkqiswvy_NRZ3Yh955hx-PF6_HhssUYiSJj8o/edit?usp=sharing"",""กองทุน!N60"")"),1734381.18)</f>
        <v>1734381.18</v>
      </c>
      <c r="J525" s="199">
        <f ca="1">IFERROR(__xludf.DUMMYFUNCTION("IMPORTRANGE(""https://docs.google.com/spreadsheets/d/1muirlRDkqiswvy_NRZ3Yh955hx-PF6_HhssUYiSJj8o/edit?usp=sharing"",""กองทุน!P60"")"),99817.4)</f>
        <v>99817.4</v>
      </c>
      <c r="K525" s="200">
        <f t="shared" ca="1" si="116"/>
        <v>5.7552169702394949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IFERROR(__xludf.DUMMYFUNCTION("IMPORTRANGE(""https://docs.google.com/spreadsheets/d/1muirlRDkqiswvy_NRZ3Yh955hx-PF6_HhssUYiSJj8o/edit?usp=sharing"",""กองทุน!M60"")"),121)</f>
        <v>121</v>
      </c>
      <c r="J526" s="199">
        <f ca="1">IFERROR(__xludf.DUMMYFUNCTION("IMPORTRANGE(""https://docs.google.com/spreadsheets/d/1muirlRDkqiswvy_NRZ3Yh955hx-PF6_HhssUYiSJj8o/edit?usp=sharing"",""กองทุน!O60"")"),9)</f>
        <v>9</v>
      </c>
      <c r="K526" s="200">
        <f t="shared" ca="1" si="116"/>
        <v>7.4380165289256199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IFERROR(__xludf.DUMMYFUNCTION("IMPORTRANGE(""https://docs.google.com/spreadsheets/d/1muirlRDkqiswvy_NRZ3Yh955hx-PF6_HhssUYiSJj8o/edit?usp=sharing"",""กองทุน!S60"")"),4000000)</f>
        <v>4000000</v>
      </c>
      <c r="J527" s="199">
        <f ca="1">IFERROR(__xludf.DUMMYFUNCTION("IMPORTRANGE(""https://docs.google.com/spreadsheets/d/1muirlRDkqiswvy_NRZ3Yh955hx-PF6_HhssUYiSJj8o/edit?usp=sharing"",""กองทุน!U60"")"),0)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IFERROR(__xludf.DUMMYFUNCTION("IMPORTRANGE(""https://docs.google.com/spreadsheets/d/1muirlRDkqiswvy_NRZ3Yh955hx-PF6_HhssUYiSJj8o/edit?usp=sharing"",""กองทุน!R60"")"),200)</f>
        <v>200</v>
      </c>
      <c r="J528" s="324">
        <f ca="1">IFERROR(__xludf.DUMMYFUNCTION("IMPORTRANGE(""https://docs.google.com/spreadsheets/d/1muirlRDkqiswvy_NRZ3Yh955hx-PF6_HhssUYiSJj8o/edit?usp=sharing"",""กองทุน!T60"")"),0)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222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2291135</v>
      </c>
      <c r="M6" s="16">
        <f t="shared" si="0"/>
        <v>125915</v>
      </c>
      <c r="N6" s="17">
        <f ca="1">IF(L6&gt;0,M6*100/L6,0)</f>
        <v>5.4957477407485813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IFERROR(__xludf.DUMMYFUNCTION("IMPORTRANGE(""https://docs.google.com/spreadsheets/d/1C3CXT74ZlgGe6_JY_1olB1XN4rF0dxEuIIF-xsYjHgg/edit?usp=sharing"",""พรบ!C61"")"),0)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IFERROR(__xludf.DUMMYFUNCTION("IMPORTRANGE(""https://docs.google.com/spreadsheets/d/1C3CXT74ZlgGe6_JY_1olB1XN4rF0dxEuIIF-xsYjHgg/edit?usp=sharing"",""พรบ!D61"")"),0)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IFERROR(__xludf.DUMMYFUNCTION("IMPORTRANGE(""https://docs.google.com/spreadsheets/d/1C3CXT74ZlgGe6_JY_1olB1XN4rF0dxEuIIF-xsYjHgg/edit?usp=sharing"",""พรบ!E61"")"),0)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IFERROR(__xludf.DUMMYFUNCTION("IMPORTRANGE(""https://docs.google.com/spreadsheets/d/1C3CXT74ZlgGe6_JY_1olB1XN4rF0dxEuIIF-xsYjHgg/edit?usp=sharing"",""พรบ!H61"")"),0)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IFERROR(__xludf.DUMMYFUNCTION("IMPORTRANGE(""https://docs.google.com/spreadsheets/d/1C3CXT74ZlgGe6_JY_1olB1XN4rF0dxEuIIF-xsYjHgg/edit?usp=sharing"",""พรบ!I61"")"),0)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IFERROR(__xludf.DUMMYFUNCTION("IMPORTRANGE(""https://docs.google.com/spreadsheets/d/1C3CXT74ZlgGe6_JY_1olB1XN4rF0dxEuIIF-xsYjHgg/edit?usp=sharing"",""พรบ!J61"")"),0)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IFERROR(__xludf.DUMMYFUNCTION("IMPORTRANGE(""https://docs.google.com/spreadsheets/d/1C3CXT74ZlgGe6_JY_1olB1XN4rF0dxEuIIF-xsYjHgg/edit?usp=sharing"",""พรบ!K61"")"),0)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IFERROR(__xludf.DUMMYFUNCTION("IMPORTRANGE(""https://docs.google.com/spreadsheets/d/1C3CXT74ZlgGe6_JY_1olB1XN4rF0dxEuIIF-xsYjHgg/edit?usp=sharing"",""พรบ!L61"")"),0)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IFERROR(__xludf.DUMMYFUNCTION("IMPORTRANGE(""https://docs.google.com/spreadsheets/d/1C3CXT74ZlgGe6_JY_1olB1XN4rF0dxEuIIF-xsYjHgg/edit?usp=sharing"",""พรบ!M61"")"),0)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IFERROR(__xludf.DUMMYFUNCTION("IMPORTRANGE(""https://docs.google.com/spreadsheets/d/1C3CXT74ZlgGe6_JY_1olB1XN4rF0dxEuIIF-xsYjHgg/edit?usp=sharing"",""พรบ!N61"")"),0)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4880</v>
      </c>
      <c r="N32" s="39">
        <f ca="1">IF(L32&gt;0,M32*100/L32,0)</f>
        <v>3.9967239967239969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IFERROR(__xludf.DUMMYFUNCTION("IMPORTRANGE(""https://docs.google.com/spreadsheets/d/1C3CXT74ZlgGe6_JY_1olB1XN4rF0dxEuIIF-xsYjHgg/edit?usp=sharing"",""พรบ!O61"")"),122100)</f>
        <v>122100</v>
      </c>
      <c r="M35" s="49">
        <f>SUM(M36:M37)</f>
        <v>4880</v>
      </c>
      <c r="N35" s="49">
        <f t="shared" ca="1" si="10"/>
        <v>3.9967239967239969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IFERROR(__xludf.DUMMYFUNCTION("IMPORTRANGE(""https://docs.google.com/spreadsheets/d/1C3CXT74ZlgGe6_JY_1olB1XN4rF0dxEuIIF-xsYjHgg/edit?usp=sharing"",""พรบ!P61"")"),0)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IFERROR(__xludf.DUMMYFUNCTION("IMPORTRANGE(""https://docs.google.com/spreadsheets/d/1C3CXT74ZlgGe6_JY_1olB1XN4rF0dxEuIIF-xsYjHgg/edit?usp=sharing"",""พรบ!Q61"")"),122100)</f>
        <v>122100</v>
      </c>
      <c r="M37" s="53">
        <v>4880</v>
      </c>
      <c r="N37" s="52">
        <f t="shared" ca="1" si="10"/>
        <v>3.9967239967239969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1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0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0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IFERROR(__xludf.DUMMYFUNCTION("IMPORTRANGE(""https://docs.google.com/spreadsheets/d/1C3CXT74ZlgGe6_JY_1olB1XN4rF0dxEuIIF-xsYjHgg/edit?usp=sharing"",""พรบ!R61"")"),1)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IFERROR(__xludf.DUMMYFUNCTION("IMPORTRANGE(""https://docs.google.com/spreadsheets/d/1C3CXT74ZlgGe6_JY_1olB1XN4rF0dxEuIIF-xsYjHgg/edit?usp=sharing"",""พรบ!S61"")"),4)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IFERROR(__xludf.DUMMYFUNCTION("IMPORTRANGE(""https://docs.google.com/spreadsheets/d/1C3CXT74ZlgGe6_JY_1olB1XN4rF0dxEuIIF-xsYjHgg/edit?usp=sharing"",""พรบ!T61"")"),4)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IFERROR(__xludf.DUMMYFUNCTION("IMPORTRANGE(""https://docs.google.com/spreadsheets/d/1C3CXT74ZlgGe6_JY_1olB1XN4rF0dxEuIIF-xsYjHgg/edit?usp=sharing"",""พรบ!U61"")"),4)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IFERROR(__xludf.DUMMYFUNCTION("IMPORTRANGE(""https://docs.google.com/spreadsheets/d/1C3CXT74ZlgGe6_JY_1olB1XN4rF0dxEuIIF-xsYjHgg/edit?usp=sharing"",""พรบ!V61"")"),4)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IFERROR(__xludf.DUMMYFUNCTION("IMPORTRANGE(""https://docs.google.com/spreadsheets/d/1C3CXT74ZlgGe6_JY_1olB1XN4rF0dxEuIIF-xsYjHgg/edit?usp=sharing"",""พรบ!W61"")"),1)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20</v>
      </c>
      <c r="K52" s="39">
        <f ca="1">IF(I52&gt;0,J52*100/I52,0)</f>
        <v>100</v>
      </c>
      <c r="L52" s="40">
        <f ca="1">L53+L54</f>
        <v>82440</v>
      </c>
      <c r="M52" s="40">
        <f>SUM(M53:M54)</f>
        <v>62840</v>
      </c>
      <c r="N52" s="39">
        <f ca="1">IF(L52&gt;0,M52*100/L52,0)</f>
        <v>76.225133430373603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62840</v>
      </c>
      <c r="N54" s="49">
        <f t="shared" ca="1" si="12"/>
        <v>76.225133430373603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IFERROR(__xludf.DUMMYFUNCTION("IMPORTRANGE(""https://docs.google.com/spreadsheets/d/1C3CXT74ZlgGe6_JY_1olB1XN4rF0dxEuIIF-xsYjHgg/edit?usp=sharing"",""พรบ!Y61"")"),0)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IFERROR(__xludf.DUMMYFUNCTION("IMPORTRANGE(""https://docs.google.com/spreadsheets/d/1C3CXT74ZlgGe6_JY_1olB1XN4rF0dxEuIIF-xsYjHgg/edit?usp=sharing"",""พรบ!Z61"")"),82440)</f>
        <v>82440</v>
      </c>
      <c r="M56" s="53">
        <v>62840</v>
      </c>
      <c r="N56" s="52">
        <f t="shared" ca="1" si="12"/>
        <v>76.225133430373603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>
        <v>0</v>
      </c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7">
        <v>1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1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IFERROR(__xludf.DUMMYFUNCTION("IMPORTRANGE(""https://docs.google.com/spreadsheets/d/1C3CXT74ZlgGe6_JY_1olB1XN4rF0dxEuIIF-xsYjHgg/edit?usp=sharing"",""พรบ!AA61"")"),20)</f>
        <v>20</v>
      </c>
      <c r="J62" s="67">
        <v>20</v>
      </c>
      <c r="K62" s="48">
        <f t="shared" ref="K62:K63" ca="1" si="14">IF(I62&gt;0,J62*100/I62,0)</f>
        <v>100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95</v>
      </c>
      <c r="J68" s="136">
        <f t="shared" si="15"/>
        <v>15</v>
      </c>
      <c r="K68" s="137">
        <f ca="1">IF(I68&gt;0,J68*100/I68,0)</f>
        <v>15.789473684210526</v>
      </c>
      <c r="L68" s="138">
        <f t="shared" ref="L68:M68" ca="1" si="16">SUM(L70:L71)</f>
        <v>842400</v>
      </c>
      <c r="M68" s="138">
        <f t="shared" si="16"/>
        <v>37070</v>
      </c>
      <c r="N68" s="137">
        <f ca="1">IF(L68&gt;0,M68*100/L68,0)</f>
        <v>4.400522317188984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842400</v>
      </c>
      <c r="M71" s="139">
        <f>SUM(M72:M73)</f>
        <v>37070</v>
      </c>
      <c r="N71" s="49">
        <f t="shared" ca="1" si="17"/>
        <v>4.400522317188984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IFERROR(__xludf.DUMMYFUNCTION("IMPORTRANGE(""https://docs.google.com/spreadsheets/d/1C3CXT74ZlgGe6_JY_1olB1XN4rF0dxEuIIF-xsYjHgg/edit?usp=sharing"",""พรบ!AD61"")"),311500)</f>
        <v>311500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530900</v>
      </c>
      <c r="M73" s="52">
        <f t="shared" si="18"/>
        <v>37070</v>
      </c>
      <c r="N73" s="52">
        <f t="shared" ca="1" si="17"/>
        <v>6.9824825767564516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IFERROR(__xludf.DUMMYFUNCTION("IMPORTRANGE(""https://docs.google.com/spreadsheets/d/1C3CXT74ZlgGe6_JY_1olB1XN4rF0dxEuIIF-xsYjHgg/edit?usp=sharing"",""พรบ!AF61"")"),7500)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 t="s">
        <v>223</v>
      </c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IFERROR(__xludf.DUMMYFUNCTION("IMPORTRANGE(""https://docs.google.com/spreadsheets/d/1C3CXT74ZlgGe6_JY_1olB1XN4rF0dxEuIIF-xsYjHgg/edit?usp=sharing"",""พรบ!AG61"")"),4)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67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67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0</v>
      </c>
      <c r="K89" s="150">
        <f ca="1">IF(I89&gt;0,J89*100/I89,0)</f>
        <v>0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IFERROR(__xludf.DUMMYFUNCTION("IMPORTRANGE(""https://docs.google.com/spreadsheets/d/1C3CXT74ZlgGe6_JY_1olB1XN4rF0dxEuIIF-xsYjHgg/edit?usp=sharing"",""พรบ!AH61"")"),56000)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IFERROR(__xludf.DUMMYFUNCTION("IMPORTRANGE(""https://docs.google.com/spreadsheets/d/1C3CXT74ZlgGe6_JY_1olB1XN4rF0dxEuIIF-xsYjHgg/edit?usp=sharing"",""พรบ!AI61"")"),4)</f>
        <v>4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IFERROR(__xludf.DUMMYFUNCTION("IMPORTRANGE(""https://docs.google.com/spreadsheets/d/1C3CXT74ZlgGe6_JY_1olB1XN4rF0dxEuIIF-xsYjHgg/edit?usp=sharing"",""กปร!C61"")"),48000)</f>
        <v>48000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3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45000</v>
      </c>
      <c r="M101" s="147">
        <f>SUM(M102:M103)</f>
        <v>5030</v>
      </c>
      <c r="N101" s="147">
        <f t="shared" ref="N101:N104" ca="1" si="25">+IF(L101&gt;0,M101*100/L101,0)</f>
        <v>11.177777777777777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45000</v>
      </c>
      <c r="M103" s="49">
        <f>M104</f>
        <v>5030</v>
      </c>
      <c r="N103" s="49">
        <f t="shared" ca="1" si="25"/>
        <v>11.177777777777777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IFERROR(__xludf.DUMMYFUNCTION("IMPORTRANGE(""https://docs.google.com/spreadsheets/d/1C3CXT74ZlgGe6_JY_1olB1XN4rF0dxEuIIF-xsYjHgg/edit?usp=sharing"",""พรบ!AJ61"")"),45000)</f>
        <v>45000</v>
      </c>
      <c r="M104" s="53">
        <v>5030</v>
      </c>
      <c r="N104" s="52">
        <f t="shared" ca="1" si="25"/>
        <v>11.177777777777777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1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IFERROR(__xludf.DUMMYFUNCTION("IMPORTRANGE(""https://docs.google.com/spreadsheets/d/1C3CXT74ZlgGe6_JY_1olB1XN4rF0dxEuIIF-xsYjHgg/edit?usp=sharing"",""พรบ!AK61"")"),3)</f>
        <v>3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IFERROR(__xludf.DUMMYFUNCTION("IMPORTRANGE(""https://docs.google.com/spreadsheets/d/1C3CXT74ZlgGe6_JY_1olB1XN4rF0dxEuIIF-xsYjHgg/edit?usp=sharing"",""กปร!D61"")"),15000)</f>
        <v>15000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IFERROR(__xludf.DUMMYFUNCTION("IMPORTRANGE(""https://docs.google.com/spreadsheets/d/1C3CXT74ZlgGe6_JY_1olB1XN4rF0dxEuIIF-xsYjHgg/edit?usp=sharing"",""พรบ!AL61"")"),3)</f>
        <v>3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IFERROR(__xludf.DUMMYFUNCTION("IMPORTRANGE(""https://docs.google.com/spreadsheets/d/1C3CXT74ZlgGe6_JY_1olB1XN4rF0dxEuIIF-xsYjHgg/edit?usp=sharing"",""กปร!E61"")"),24000)</f>
        <v>24000</v>
      </c>
      <c r="M111" s="361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40000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31000</v>
      </c>
      <c r="M114" s="147">
        <f>SUM(M115:M116)</f>
        <v>15000</v>
      </c>
      <c r="N114" s="147">
        <f t="shared" ref="N114:N117" ca="1" si="29">+IF(L114&gt;0,M114*100/L114,0)</f>
        <v>48.387096774193552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31000</v>
      </c>
      <c r="M116" s="49">
        <f>M117</f>
        <v>15000</v>
      </c>
      <c r="N116" s="49">
        <f t="shared" ca="1" si="29"/>
        <v>48.387096774193552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IFERROR(__xludf.DUMMYFUNCTION("IMPORTRANGE(""https://docs.google.com/spreadsheets/d/1C3CXT74ZlgGe6_JY_1olB1XN4rF0dxEuIIF-xsYjHgg/edit?usp=sharing"",""พรบ!AM61"")"),31000)</f>
        <v>31000</v>
      </c>
      <c r="M117" s="53">
        <v>15000</v>
      </c>
      <c r="N117" s="52">
        <f t="shared" ca="1" si="29"/>
        <v>48.387096774193552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1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IFERROR(__xludf.DUMMYFUNCTION("IMPORTRANGE(""https://docs.google.com/spreadsheets/d/1C3CXT74ZlgGe6_JY_1olB1XN4rF0dxEuIIF-xsYjHgg/edit?usp=sharing"",""พรบ!AO61"")"),40000)</f>
        <v>40000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IFERROR(__xludf.DUMMYFUNCTION("IMPORTRANGE(""https://docs.google.com/spreadsheets/d/1C3CXT74ZlgGe6_JY_1olB1XN4rF0dxEuIIF-xsYjHgg/edit?usp=sharing"",""พรบ!AP61"")"),40000)</f>
        <v>40000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IFERROR(__xludf.DUMMYFUNCTION("IMPORTRANGE(""https://docs.google.com/spreadsheets/d/1C3CXT74ZlgGe6_JY_1olB1XN4rF0dxEuIIF-xsYjHgg/edit?usp=sharing"",""กปร!F61"")"),10000)</f>
        <v>10000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IFERROR(__xludf.DUMMYFUNCTION("IMPORTRANGE(""https://docs.google.com/spreadsheets/d/1C3CXT74ZlgGe6_JY_1olB1XN4rF0dxEuIIF-xsYjHgg/edit?usp=sharing"",""พรบ!AQ61"")"),15)</f>
        <v>15</v>
      </c>
      <c r="J126" s="67">
        <v>15</v>
      </c>
      <c r="K126" s="48">
        <f t="shared" ca="1" si="30"/>
        <v>100</v>
      </c>
      <c r="L126" s="52">
        <f ca="1">IFERROR(__xludf.DUMMYFUNCTION("IMPORTRANGE(""https://docs.google.com/spreadsheets/d/1C3CXT74ZlgGe6_JY_1olB1XN4rF0dxEuIIF-xsYjHgg/edit?usp=sharing"",""กปร!G61"")"),15000)</f>
        <v>15000</v>
      </c>
      <c r="M126" s="361">
        <v>15000</v>
      </c>
      <c r="N126" s="52">
        <f t="shared" ca="1" si="31"/>
        <v>100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80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391400</v>
      </c>
      <c r="M129" s="147">
        <f>SUM(M130:M131)</f>
        <v>17040</v>
      </c>
      <c r="N129" s="147">
        <f t="shared" ref="N129:N132" ca="1" si="33">+IF(L129&gt;0,M129*100/L129,0)</f>
        <v>4.3536024527337762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391400</v>
      </c>
      <c r="M131" s="49">
        <f>M132</f>
        <v>17040</v>
      </c>
      <c r="N131" s="49">
        <f t="shared" ca="1" si="33"/>
        <v>4.3536024527337762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IFERROR(__xludf.DUMMYFUNCTION("IMPORTRANGE(""https://docs.google.com/spreadsheets/d/1C3CXT74ZlgGe6_JY_1olB1XN4rF0dxEuIIF-xsYjHgg/edit?usp=sharing"",""พรบ!AR61"")"),391400)</f>
        <v>391400</v>
      </c>
      <c r="M132" s="53">
        <v>17040</v>
      </c>
      <c r="N132" s="52">
        <f t="shared" ca="1" si="33"/>
        <v>4.3536024527337762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/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52">
        <f ca="1">IFERROR(__xludf.DUMMYFUNCTION("IMPORTRANGE(""https://docs.google.com/spreadsheets/d/1C3CXT74ZlgGe6_JY_1olB1XN4rF0dxEuIIF-xsYjHgg/edit?usp=sharing"",""กปร!H61"")"),102400)</f>
        <v>102400</v>
      </c>
      <c r="M137" s="52">
        <f>M138+M139</f>
        <v>0</v>
      </c>
      <c r="N137" s="52">
        <f t="shared" ref="N137:N141" ca="1" si="34">+IF(L137&gt;0,M137*100/L137,0)</f>
        <v>0</v>
      </c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IFERROR(__xludf.DUMMYFUNCTION("IMPORTRANGE(""https://docs.google.com/spreadsheets/d/1C3CXT74ZlgGe6_JY_1olB1XN4rF0dxEuIIF-xsYjHgg/edit?usp=sharing"",""พรบ!AS61"")"),80)</f>
        <v>80</v>
      </c>
      <c r="J138" s="67">
        <v>0</v>
      </c>
      <c r="K138" s="48">
        <f ca="1">IF(I138&gt;0,J138*100/I138,0)</f>
        <v>0</v>
      </c>
      <c r="L138" s="372">
        <v>56200</v>
      </c>
      <c r="M138" s="371">
        <v>0</v>
      </c>
      <c r="N138" s="370">
        <f t="shared" si="34"/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372">
        <v>46200</v>
      </c>
      <c r="M139" s="371">
        <v>0</v>
      </c>
      <c r="N139" s="370">
        <f t="shared" si="34"/>
        <v>0</v>
      </c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IFERROR(__xludf.DUMMYFUNCTION("IMPORTRANGE(""https://docs.google.com/spreadsheets/d/1C3CXT74ZlgGe6_JY_1olB1XN4rF0dxEuIIF-xsYjHgg/edit?usp=sharing"",""พรบ!AT61"")"),41)</f>
        <v>41</v>
      </c>
      <c r="J140" s="67">
        <v>0</v>
      </c>
      <c r="K140" s="48">
        <f t="shared" ref="K140:K141" ca="1" si="35">IF(I140&gt;0,J140*100/I140,0)</f>
        <v>0</v>
      </c>
      <c r="L140" s="52">
        <f ca="1">IFERROR(__xludf.DUMMYFUNCTION("IMPORTRANGE(""https://docs.google.com/spreadsheets/d/1C3CXT74ZlgGe6_JY_1olB1XN4rF0dxEuIIF-xsYjHgg/edit?usp=sharing"",""กปร!I61"")"),100000)</f>
        <v>100000</v>
      </c>
      <c r="M140" s="361">
        <v>0</v>
      </c>
      <c r="N140" s="52">
        <f t="shared" ca="1" si="34"/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IFERROR(__xludf.DUMMYFUNCTION("IMPORTRANGE(""https://docs.google.com/spreadsheets/d/1C3CXT74ZlgGe6_JY_1olB1XN4rF0dxEuIIF-xsYjHgg/edit?usp=sharing"",""พรบ!AU61"")"),0)</f>
        <v>0</v>
      </c>
      <c r="J141" s="67">
        <v>0</v>
      </c>
      <c r="K141" s="48">
        <f t="shared" ca="1" si="35"/>
        <v>0</v>
      </c>
      <c r="L141" s="52">
        <f ca="1">IFERROR(__xludf.DUMMYFUNCTION("IMPORTRANGE(""https://docs.google.com/spreadsheets/d/1C3CXT74ZlgGe6_JY_1olB1XN4rF0dxEuIIF-xsYjHgg/edit?usp=sharing"",""กปร!J61"")"),10000)</f>
        <v>10000</v>
      </c>
      <c r="M141" s="361">
        <v>0</v>
      </c>
      <c r="N141" s="52">
        <f t="shared" ca="1" si="34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15</v>
      </c>
      <c r="J144" s="136">
        <f t="shared" si="36"/>
        <v>15</v>
      </c>
      <c r="K144" s="137">
        <f ca="1">IF(I144&gt;0,J144*100/I144,0)</f>
        <v>100</v>
      </c>
      <c r="L144" s="138">
        <f ca="1">L145+L146</f>
        <v>21125</v>
      </c>
      <c r="M144" s="138">
        <f>SUM(M145:M146)</f>
        <v>21125</v>
      </c>
      <c r="N144" s="137">
        <f ca="1">IF(L144&gt;0,M144*100/L144,0)</f>
        <v>100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21125</v>
      </c>
      <c r="M146" s="49">
        <f t="shared" si="38"/>
        <v>21125</v>
      </c>
      <c r="N146" s="49">
        <f t="shared" ca="1" si="37"/>
        <v>100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IFERROR(__xludf.DUMMYFUNCTION("IMPORTRANGE(""https://docs.google.com/spreadsheets/d/1C3CXT74ZlgGe6_JY_1olB1XN4rF0dxEuIIF-xsYjHgg/edit?usp=sharing"",""พรบ!AY61"")"),21125)</f>
        <v>21125</v>
      </c>
      <c r="M148" s="53">
        <v>21125</v>
      </c>
      <c r="N148" s="52">
        <f t="shared" ca="1" si="37"/>
        <v>100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15</v>
      </c>
      <c r="J149" s="136">
        <f>+J155</f>
        <v>15</v>
      </c>
      <c r="K149" s="137">
        <f ca="1">IF(I149&gt;0,J149*100/I149,0)</f>
        <v>100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IFERROR(__xludf.DUMMYFUNCTION("IMPORTRANGE(""https://docs.google.com/spreadsheets/d/1C3CXT74ZlgGe6_JY_1olB1XN4rF0dxEuIIF-xsYjHgg/edit?usp=sharing"",""พรบ!BA61"")"),15)</f>
        <v>15</v>
      </c>
      <c r="J155" s="67">
        <v>15</v>
      </c>
      <c r="K155" s="48">
        <f ca="1">IF(I155&gt;0,J155*100/I155,0)</f>
        <v>100</v>
      </c>
      <c r="L155" s="60"/>
      <c r="M155" s="60">
        <v>21125</v>
      </c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71400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71400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IFERROR(__xludf.DUMMYFUNCTION("IMPORTRANGE(""https://docs.google.com/spreadsheets/d/1C3CXT74ZlgGe6_JY_1olB1XN4rF0dxEuIIF-xsYjHgg/edit?usp=sharing"",""พรบ!BD61"")"),0)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IFERROR(__xludf.DUMMYFUNCTION("IMPORTRANGE(""https://docs.google.com/spreadsheets/d/1C3CXT74ZlgGe6_JY_1olB1XN4rF0dxEuIIF-xsYjHgg/edit?usp=sharing"",""พรบ!BE61"")"),71400)</f>
        <v>71400</v>
      </c>
      <c r="M173" s="53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IFERROR(__xludf.DUMMYFUNCTION("IMPORTRANGE(""https://docs.google.com/spreadsheets/d/1C3CXT74ZlgGe6_JY_1olB1XN4rF0dxEuIIF-xsYjHgg/edit?usp=sharing"",""พรบ!BF61"")"),1)</f>
        <v>1</v>
      </c>
      <c r="J179" s="67">
        <v>0</v>
      </c>
      <c r="K179" s="48">
        <f t="shared" ref="K179:K182" ca="1" si="41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IFERROR(__xludf.DUMMYFUNCTION("IMPORTRANGE(""https://docs.google.com/spreadsheets/d/1C3CXT74ZlgGe6_JY_1olB1XN4rF0dxEuIIF-xsYjHgg/edit?usp=sharing"",""พรบ!BG61"")"),20)</f>
        <v>20</v>
      </c>
      <c r="J180" s="67">
        <v>0</v>
      </c>
      <c r="K180" s="48">
        <f t="shared" ca="1" si="41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IFERROR(__xludf.DUMMYFUNCTION("IMPORTRANGE(""https://docs.google.com/spreadsheets/d/1C3CXT74ZlgGe6_JY_1olB1XN4rF0dxEuIIF-xsYjHgg/edit?usp=sharing"",""พรบ!BH61"")"),20)</f>
        <v>20</v>
      </c>
      <c r="J181" s="67">
        <v>0</v>
      </c>
      <c r="K181" s="48">
        <f t="shared" ca="1" si="41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IFERROR(__xludf.DUMMYFUNCTION("IMPORTRANGE(""https://docs.google.com/spreadsheets/d/1C3CXT74ZlgGe6_JY_1olB1XN4rF0dxEuIIF-xsYjHgg/edit?usp=sharing"",""พรบ!BI61"")"),1)</f>
        <v>1</v>
      </c>
      <c r="J182" s="67">
        <v>0</v>
      </c>
      <c r="K182" s="48">
        <f t="shared" ca="1" si="41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20</v>
      </c>
      <c r="J185" s="177">
        <f>+J195</f>
        <v>0</v>
      </c>
      <c r="K185" s="178">
        <f ca="1">IF(I185&gt;0,J185*100/I185,0)</f>
        <v>0</v>
      </c>
      <c r="L185" s="179">
        <f ca="1">L186+L187</f>
        <v>183600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183600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IFERROR(__xludf.DUMMYFUNCTION("IMPORTRANGE(""https://docs.google.com/spreadsheets/d/1C3CXT74ZlgGe6_JY_1olB1XN4rF0dxEuIIF-xsYjHgg/edit?usp=sharing"",""พรบ!BK61"")"),0)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IFERROR(__xludf.DUMMYFUNCTION("IMPORTRANGE(""https://docs.google.com/spreadsheets/d/1C3CXT74ZlgGe6_JY_1olB1XN4rF0dxEuIIF-xsYjHgg/edit?usp=sharing"",""พรบ!BL61"")"),183600)</f>
        <v>183600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IFERROR(__xludf.DUMMYFUNCTION("IMPORTRANGE(""https://docs.google.com/spreadsheets/d/1C3CXT74ZlgGe6_JY_1olB1XN4rF0dxEuIIF-xsYjHgg/edit?usp=sharing"",""พรบ!BM61"")"),20)</f>
        <v>20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2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IFERROR(__xludf.DUMMYFUNCTION("IMPORTRANGE(""https://docs.google.com/spreadsheets/d/1C3CXT74ZlgGe6_JY_1olB1XN4rF0dxEuIIF-xsYjHgg/edit?usp=sharing"",""พรบ!BP61"")"),0)</f>
        <v>0</v>
      </c>
      <c r="M203" s="52">
        <v>0</v>
      </c>
      <c r="N203" s="52">
        <f>+IF(L613&gt;0,M613*100/L613,0)</f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IFERROR(__xludf.DUMMYFUNCTION("IMPORTRANGE(""https://docs.google.com/spreadsheets/d/1C3CXT74ZlgGe6_JY_1olB1XN4rF0dxEuIIF-xsYjHgg/edit?usp=sharing"",""พรบ!BQ61"")"),0)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IFERROR(__xludf.DUMMYFUNCTION("IMPORTRANGE(""https://docs.google.com/spreadsheets/d/1C3CXT74ZlgGe6_JY_1olB1XN4rF0dxEuIIF-xsYjHgg/edit?usp=sharing"",""พรบ!BR61"")"),0)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IFERROR(__xludf.DUMMYFUNCTION("IMPORTRANGE(""https://docs.google.com/spreadsheets/d/1C3CXT74ZlgGe6_JY_1olB1XN4rF0dxEuIIF-xsYjHgg/edit?usp=sharing"",""พรบ!BU61"")"),0)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IFERROR(__xludf.DUMMYFUNCTION("IMPORTRANGE(""https://docs.google.com/spreadsheets/d/1C3CXT74ZlgGe6_JY_1olB1XN4rF0dxEuIIF-xsYjHgg/edit?usp=sharing"",""พรบ!BV61"")"),0)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210</v>
      </c>
      <c r="J228" s="197">
        <f ca="1">J240</f>
        <v>18</v>
      </c>
      <c r="K228" s="178">
        <f ca="1">IF(I228&gt;0,J228*100/I228,0)</f>
        <v>8.5714285714285712</v>
      </c>
      <c r="L228" s="179">
        <f ca="1">L229+L230</f>
        <v>968070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968070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IFERROR(__xludf.DUMMYFUNCTION("IMPORTRANGE(""https://docs.google.com/spreadsheets/d/1C3CXT74ZlgGe6_JY_1olB1XN4rF0dxEuIIF-xsYjHgg/edit?usp=sharing"",""พรบ!BX61"")"),529200)</f>
        <v>529200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IFERROR(__xludf.DUMMYFUNCTION("IMPORTRANGE(""https://docs.google.com/spreadsheets/d/1C3CXT74ZlgGe6_JY_1olB1XN4rF0dxEuIIF-xsYjHgg/edit?usp=sharing"",""พรบ!BY61"")"),438870)</f>
        <v>438870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IFERROR(__xludf.DUMMYFUNCTION("IMPORTRANGE(""https://docs.google.com/spreadsheets/d/1AGHcLOeeYFL3K4b9R1dSzyJy00PE_ra89DNTVfnxSWM/edit?usp=sharing"",""รวมที่ทำกิน!J50"")"),85)</f>
        <v>85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IFERROR(__xludf.DUMMYFUNCTION("IMPORTRANGE(""https://docs.google.com/spreadsheets/d/1C3CXT74ZlgGe6_JY_1olB1XN4rF0dxEuIIF-xsYjHgg/edit?usp=sharing"",""พรบ!BZ61"")"),3160)</f>
        <v>3160</v>
      </c>
      <c r="J235" s="66">
        <f ca="1">IFERROR(__xludf.DUMMYFUNCTION("IMPORTRANGE(""https://docs.google.com/spreadsheets/d/1AGHcLOeeYFL3K4b9R1dSzyJy00PE_ra89DNTVfnxSWM/edit?usp=sharing"",""รวมที่ทำกิน!L50"")"),880.2)</f>
        <v>880.2</v>
      </c>
      <c r="K235" s="200">
        <f t="shared" ca="1" si="52"/>
        <v>27.854430379746834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IFERROR(__xludf.DUMMYFUNCTION("IMPORTRANGE(""https://docs.google.com/spreadsheets/d/1C3CXT74ZlgGe6_JY_1olB1XN4rF0dxEuIIF-xsYjHgg/edit?usp=sharing"",""พรบ!CA61"")"),210)</f>
        <v>210</v>
      </c>
      <c r="J236" s="66">
        <f ca="1">IFERROR(__xludf.DUMMYFUNCTION("IMPORTRANGE(""https://docs.google.com/spreadsheets/d/1AGHcLOeeYFL3K4b9R1dSzyJy00PE_ra89DNTVfnxSWM/edit?usp=sharing"",""รวมที่ทำกิน!O50"")"),71)</f>
        <v>71</v>
      </c>
      <c r="K236" s="200">
        <f t="shared" ca="1" si="52"/>
        <v>33.80952380952381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IFERROR(__xludf.DUMMYFUNCTION("IMPORTRANGE(""https://docs.google.com/spreadsheets/d/1AGHcLOeeYFL3K4b9R1dSzyJy00PE_ra89DNTVfnxSWM/edit?usp=sharing"",""รวมที่ทำกิน!Q50"")"),926.23)</f>
        <v>926.23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IFERROR(__xludf.DUMMYFUNCTION("IMPORTRANGE(""https://docs.google.com/spreadsheets/d/1C3CXT74ZlgGe6_JY_1olB1XN4rF0dxEuIIF-xsYjHgg/edit?usp=sharing"",""พรบ!CB61"")"),210)</f>
        <v>210</v>
      </c>
      <c r="J238" s="66">
        <f ca="1">IFERROR(__xludf.DUMMYFUNCTION("IMPORTRANGE(""https://docs.google.com/spreadsheets/d/1AGHcLOeeYFL3K4b9R1dSzyJy00PE_ra89DNTVfnxSWM/edit?usp=sharing"",""รวมที่ทำกิน!S50"")"),0)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IFERROR(__xludf.DUMMYFUNCTION("IMPORTRANGE(""https://docs.google.com/spreadsheets/d/1AGHcLOeeYFL3K4b9R1dSzyJy00PE_ra89DNTVfnxSWM/edit?usp=sharing"",""รวมที่ทำกิน!U50"")"),0)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IFERROR(__xludf.DUMMYFUNCTION("IMPORTRANGE(""https://docs.google.com/spreadsheets/d/1C3CXT74ZlgGe6_JY_1olB1XN4rF0dxEuIIF-xsYjHgg/edit?usp=sharing"",""พรบ!CC61"")"),210)</f>
        <v>210</v>
      </c>
      <c r="J240" s="66">
        <f ca="1">IFERROR(__xludf.DUMMYFUNCTION("IMPORTRANGE(""https://docs.google.com/spreadsheets/d/1AGHcLOeeYFL3K4b9R1dSzyJy00PE_ra89DNTVfnxSWM/edit?usp=sharing"",""รวมที่ทำกิน!W50"")"),18)</f>
        <v>18</v>
      </c>
      <c r="K240" s="200">
        <f t="shared" ca="1" si="52"/>
        <v>8.5714285714285712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IFERROR(__xludf.DUMMYFUNCTION("IMPORTRANGE(""https://docs.google.com/spreadsheets/d/1AGHcLOeeYFL3K4b9R1dSzyJy00PE_ra89DNTVfnxSWM/edit?usp=sharing"",""รวมที่ทำกิน!Y50"")"),261.51)</f>
        <v>261.51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2349719</v>
      </c>
      <c r="M242" s="213">
        <f t="shared" si="53"/>
        <v>38726</v>
      </c>
      <c r="N242" s="213">
        <f ca="1">+IF(L242&gt;0,M242*100/L242,0)</f>
        <v>1.648111965728668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64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324540</v>
      </c>
      <c r="M244" s="228">
        <f t="shared" si="56"/>
        <v>19493</v>
      </c>
      <c r="N244" s="228">
        <f ca="1">+IF(L244&gt;0,M244*100/L244,0)</f>
        <v>6.0063474456153321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54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324540</v>
      </c>
      <c r="M247" s="49">
        <f t="shared" si="58"/>
        <v>19493</v>
      </c>
      <c r="N247" s="49">
        <f t="shared" ca="1" si="57"/>
        <v>6.0063474456153321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IFERROR(__xludf.DUMMYFUNCTION("IMPORTRANGE(""https://docs.google.com/spreadsheets/d/1C3CXT74ZlgGe6_JY_1olB1XN4rF0dxEuIIF-xsYjHgg/edit?usp=sharing"",""งบกองทุน!d61"")"),0)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IFERROR(__xludf.DUMMYFUNCTION("IMPORTRANGE(""https://docs.google.com/spreadsheets/d/1C3CXT74ZlgGe6_JY_1olB1XN4rF0dxEuIIF-xsYjHgg/edit?usp=sharing"",""งบกองทุน!e61"")"),324540)</f>
        <v>324540</v>
      </c>
      <c r="M249" s="52">
        <f>SUM(M250:M253)</f>
        <v>19493</v>
      </c>
      <c r="N249" s="52">
        <f t="shared" ca="1" si="57"/>
        <v>6.0063474456153321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17233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2260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/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IFERROR(__xludf.DUMMYFUNCTION("IMPORTRANGE(""https://docs.google.com/spreadsheets/d/1C3CXT74ZlgGe6_JY_1olB1XN4rF0dxEuIIF-xsYjHgg/edit?usp=sharing"",""งบกองทุน!f61"")"),0)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64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IFERROR(__xludf.DUMMYFUNCTION("IMPORTRANGE(""https://docs.google.com/spreadsheets/d/1C3CXT74ZlgGe6_JY_1olB1XN4rF0dxEuIIF-xsYjHgg/edit?usp=sharing"",""งบกองทุน!H61"")"),54)</f>
        <v>54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IFERROR(__xludf.DUMMYFUNCTION("IMPORTRANGE(""https://docs.google.com/spreadsheets/d/1C3CXT74ZlgGe6_JY_1olB1XN4rF0dxEuIIF-xsYjHgg/edit?usp=sharing"",""งบกองทุน!i61"")"),44)</f>
        <v>44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54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IFERROR(__xludf.DUMMYFUNCTION("IMPORTRANGE(""https://docs.google.com/spreadsheets/d/1C3CXT74ZlgGe6_JY_1olB1XN4rF0dxEuIIF-xsYjHgg/edit?usp=sharing"",""งบกองทุน!k61"")"),20)</f>
        <v>20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54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IFERROR(__xludf.DUMMYFUNCTION("IMPORTRANGE(""https://docs.google.com/spreadsheets/d/1C3CXT74ZlgGe6_JY_1olB1XN4rF0dxEuIIF-xsYjHgg/edit?usp=sharing"",""งบกองทุน!m61"")"),0)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64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IFERROR(__xludf.DUMMYFUNCTION("IMPORTRANGE(""https://docs.google.com/spreadsheets/d/1C3CXT74ZlgGe6_JY_1olB1XN4rF0dxEuIIF-xsYjHgg/edit?usp=sharing"",""งบกองทุน!o61"")"),20)</f>
        <v>20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IFERROR(__xludf.DUMMYFUNCTION("IMPORTRANGE(""https://docs.google.com/spreadsheets/d/1C3CXT74ZlgGe6_JY_1olB1XN4rF0dxEuIIF-xsYjHgg/edit?usp=sharing"",""งบกองทุน!p61"")"),44)</f>
        <v>44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1000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1028520</v>
      </c>
      <c r="M275" s="228">
        <f t="shared" si="64"/>
        <v>1100</v>
      </c>
      <c r="N275" s="228">
        <f ca="1">+IF(L275&gt;0,M275*100/L275,0)</f>
        <v>0.10694979193404115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100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1028520</v>
      </c>
      <c r="M278" s="49">
        <f t="shared" si="66"/>
        <v>1100</v>
      </c>
      <c r="N278" s="49">
        <f t="shared" ca="1" si="65"/>
        <v>0.10694979193404115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IFERROR(__xludf.DUMMYFUNCTION("IMPORTRANGE(""https://docs.google.com/spreadsheets/d/1C3CXT74ZlgGe6_JY_1olB1XN4rF0dxEuIIF-xsYjHgg/edit?usp=sharing"",""งบกองทุน!r61"")"),0)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IFERROR(__xludf.DUMMYFUNCTION("IMPORTRANGE(""https://docs.google.com/spreadsheets/d/1C3CXT74ZlgGe6_JY_1olB1XN4rF0dxEuIIF-xsYjHgg/edit?usp=sharing"",""งบกองทุน!s61"")"),1028520)</f>
        <v>1028520</v>
      </c>
      <c r="M280" s="52">
        <f>SUM(M281:M284)</f>
        <v>1100</v>
      </c>
      <c r="N280" s="52">
        <f t="shared" ca="1" si="65"/>
        <v>0.10694979193404115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1100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/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IFERROR(__xludf.DUMMYFUNCTION("IMPORTRANGE(""https://docs.google.com/spreadsheets/d/1C3CXT74ZlgGe6_JY_1olB1XN4rF0dxEuIIF-xsYjHgg/edit?usp=sharing"",""งบกองทุน!v61"")"),100)</f>
        <v>100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IFERROR(__xludf.DUMMYFUNCTION("IMPORTRANGE(""https://docs.google.com/spreadsheets/d/1C3CXT74ZlgGe6_JY_1olB1XN4rF0dxEuIIF-xsYjHgg/edit?usp=sharing"",""งบกองทุน!w61"")"),1000)</f>
        <v>1000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IFERROR(__xludf.DUMMYFUNCTION("IMPORTRANGE(""https://docs.google.com/spreadsheets/d/1C3CXT74ZlgGe6_JY_1olB1XN4rF0dxEuIIF-xsYjHgg/edit?usp=sharing"",""งบกองทุน!x61"")"),100)</f>
        <v>100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240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267520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80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267520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IFERROR(__xludf.DUMMYFUNCTION("IMPORTRANGE(""https://docs.google.com/spreadsheets/d/1C3CXT74ZlgGe6_JY_1olB1XN4rF0dxEuIIF-xsYjHgg/edit?usp=sharing"",""งบกองทุน!z61"")"),0)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IFERROR(__xludf.DUMMYFUNCTION("IMPORTRANGE(""https://docs.google.com/spreadsheets/d/1C3CXT74ZlgGe6_JY_1olB1XN4rF0dxEuIIF-xsYjHgg/edit?usp=sharing"",""งบกองทุน!aa61"")"),267520)</f>
        <v>267520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80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IFERROR(__xludf.DUMMYFUNCTION("IMPORTRANGE(""https://docs.google.com/spreadsheets/d/1C3CXT74ZlgGe6_JY_1olB1XN4rF0dxEuIIF-xsYjHgg/edit?usp=sharing"",""งบกองทุน!ae61"")"),30)</f>
        <v>30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IFERROR(__xludf.DUMMYFUNCTION("IMPORTRANGE(""https://docs.google.com/spreadsheets/d/1C3CXT74ZlgGe6_JY_1olB1XN4rF0dxEuIIF-xsYjHgg/edit?usp=sharing"",""งบกองทุน!ad61"")"),90)</f>
        <v>90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IFERROR(__xludf.DUMMYFUNCTION("IMPORTRANGE(""https://docs.google.com/spreadsheets/d/1C3CXT74ZlgGe6_JY_1olB1XN4rF0dxEuIIF-xsYjHgg/edit?usp=sharing"",""งบกองทุน!af61"")"),30)</f>
        <v>30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IFERROR(__xludf.DUMMYFUNCTION("IMPORTRANGE(""https://docs.google.com/spreadsheets/d/1C3CXT74ZlgGe6_JY_1olB1XN4rF0dxEuIIF-xsYjHgg/edit?usp=sharing"",""งบกองทุน!ag61"")"),30)</f>
        <v>30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IFERROR(__xludf.DUMMYFUNCTION("IMPORTRANGE(""https://docs.google.com/spreadsheets/d/1C3CXT74ZlgGe6_JY_1olB1XN4rF0dxEuIIF-xsYjHgg/edit?usp=sharing"",""งบกองทุน!ai61"")"),40)</f>
        <v>40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IFERROR(__xludf.DUMMYFUNCTION("IMPORTRANGE(""https://docs.google.com/spreadsheets/d/1C3CXT74ZlgGe6_JY_1olB1XN4rF0dxEuIIF-xsYjHgg/edit?usp=sharing"",""งบกองทุน!ah61"")"),120)</f>
        <v>120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IFERROR(__xludf.DUMMYFUNCTION("IMPORTRANGE(""https://docs.google.com/spreadsheets/d/1C3CXT74ZlgGe6_JY_1olB1XN4rF0dxEuIIF-xsYjHgg/edit?usp=sharing"",""งบกองทุน!aj61"")"),40)</f>
        <v>40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IFERROR(__xludf.DUMMYFUNCTION("IMPORTRANGE(""https://docs.google.com/spreadsheets/d/1C3CXT74ZlgGe6_JY_1olB1XN4rF0dxEuIIF-xsYjHgg/edit?usp=sharing"",""งบกองทุน!ak61"")"),40)</f>
        <v>40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IFERROR(__xludf.DUMMYFUNCTION("IMPORTRANGE(""https://docs.google.com/spreadsheets/d/1C3CXT74ZlgGe6_JY_1olB1XN4rF0dxEuIIF-xsYjHgg/edit?usp=sharing"",""งบกองทุน!al61"")"),40)</f>
        <v>40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IFERROR(__xludf.DUMMYFUNCTION("IMPORTRANGE(""https://docs.google.com/spreadsheets/d/1C3CXT74ZlgGe6_JY_1olB1XN4rF0dxEuIIF-xsYjHgg/edit?usp=sharing"",""งบกองทุน!an61"")"),10)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IFERROR(__xludf.DUMMYFUNCTION("IMPORTRANGE(""https://docs.google.com/spreadsheets/d/1C3CXT74ZlgGe6_JY_1olB1XN4rF0dxEuIIF-xsYjHgg/edit?usp=sharing"",""งบกองทุน!am61"")"),30)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IFERROR(__xludf.DUMMYFUNCTION("IMPORTRANGE(""https://docs.google.com/spreadsheets/d/1C3CXT74ZlgGe6_JY_1olB1XN4rF0dxEuIIF-xsYjHgg/edit?usp=sharing"",""งบกองทุน!ao61"")"),10)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IFERROR(__xludf.DUMMYFUNCTION("IMPORTRANGE(""https://docs.google.com/spreadsheets/d/1C3CXT74ZlgGe6_JY_1olB1XN4rF0dxEuIIF-xsYjHgg/edit?usp=sharing"",""งบกองทุน!ap61"")"),10)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70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IFERROR(__xludf.DUMMYFUNCTION("IMPORTRANGE(""https://docs.google.com/spreadsheets/d/1C3CXT74ZlgGe6_JY_1olB1XN4rF0dxEuIIF-xsYjHgg/edit?usp=sharing"",""งบกองทุน!ar61"")"),30)</f>
        <v>30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IFERROR(__xludf.DUMMYFUNCTION("IMPORTRANGE(""https://docs.google.com/spreadsheets/d/1C3CXT74ZlgGe6_JY_1olB1XN4rF0dxEuIIF-xsYjHgg/edit?usp=sharing"",""งบกองทุน!as61"")"),40)</f>
        <v>40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60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179000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179000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IFERROR(__xludf.DUMMYFUNCTION("IMPORTRANGE(""https://docs.google.com/spreadsheets/d/1C3CXT74ZlgGe6_JY_1olB1XN4rF0dxEuIIF-xsYjHgg/edit?usp=sharing"",""งบกองทุน!au61"")"),0)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IFERROR(__xludf.DUMMYFUNCTION("IMPORTRANGE(""https://docs.google.com/spreadsheets/d/1C3CXT74ZlgGe6_JY_1olB1XN4rF0dxEuIIF-xsYjHgg/edit?usp=sharing"",""งบกองทุน!av61"")"),179000)</f>
        <v>179000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1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60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IFERROR(__xludf.DUMMYFUNCTION("IMPORTRANGE(""https://docs.google.com/spreadsheets/d/1C3CXT74ZlgGe6_JY_1olB1XN4rF0dxEuIIF-xsYjHgg/edit?usp=sharing"",""งบกองทุน!ay61"")"),40)</f>
        <v>40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IFERROR(__xludf.DUMMYFUNCTION("IMPORTRANGE(""https://docs.google.com/spreadsheets/d/1C3CXT74ZlgGe6_JY_1olB1XN4rF0dxEuIIF-xsYjHgg/edit?usp=sharing"",""งบกองทุน!az61"")"),20)</f>
        <v>20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IFERROR(__xludf.DUMMYFUNCTION("IMPORTRANGE(""https://docs.google.com/spreadsheets/d/1C3CXT74ZlgGe6_JY_1olB1XN4rF0dxEuIIF-xsYjHgg/edit?usp=sharing"",""งบกองทุน!Ba61"")"),0)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24191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369379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369379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IFERROR(__xludf.DUMMYFUNCTION("IMPORTRANGE(""https://docs.google.com/spreadsheets/d/1C3CXT74ZlgGe6_JY_1olB1XN4rF0dxEuIIF-xsYjHgg/edit?usp=sharing"",""งบกองทุน!Bc61"")"),0)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IFERROR(__xludf.DUMMYFUNCTION("IMPORTRANGE(""https://docs.google.com/spreadsheets/d/1C3CXT74ZlgGe6_JY_1olB1XN4rF0dxEuIIF-xsYjHgg/edit?usp=sharing"",""งบกองทุน!Bd61"")"),369379)</f>
        <v>369379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IFERROR(__xludf.DUMMYFUNCTION("IMPORTRANGE(""https://docs.google.com/spreadsheets/d/1C3CXT74ZlgGe6_JY_1olB1XN4rF0dxEuIIF-xsYjHgg/edit?usp=sharing"",""งบกองทุน!BE61"")"),24191)</f>
        <v>24191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IFERROR(__xludf.DUMMYFUNCTION("IMPORTRANGE(""https://docs.google.com/spreadsheets/d/1C3CXT74ZlgGe6_JY_1olB1XN4rF0dxEuIIF-xsYjHgg/edit?usp=sharing"",""งบกองทุน!BE61"")"),24191)</f>
        <v>24191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IFERROR(__xludf.DUMMYFUNCTION("IMPORTRANGE(""https://docs.google.com/spreadsheets/d/1C3CXT74ZlgGe6_JY_1olB1XN4rF0dxEuIIF-xsYjHgg/edit?usp=sharing"",""งบกองทุน!Bf61"")"),2367)</f>
        <v>2367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24191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2367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24191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2367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IFERROR(__xludf.DUMMYFUNCTION("IMPORTRANGE(""https://docs.google.com/spreadsheets/d/1C3CXT74ZlgGe6_JY_1olB1XN4rF0dxEuIIF-xsYjHgg/edit?usp=sharing"",""งบกองทุน!cd61"")"),1333)</f>
        <v>1333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IFERROR(__xludf.DUMMYFUNCTION("IMPORTRANGE(""https://docs.google.com/spreadsheets/d/1C3CXT74ZlgGe6_JY_1olB1XN4rF0dxEuIIF-xsYjHgg/edit?usp=sharing"",""งบกองทุน!cd61"")"),1333)</f>
        <v>1333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IFERROR(__xludf.DUMMYFUNCTION("IMPORTRANGE(""https://docs.google.com/spreadsheets/d/1C3CXT74ZlgGe6_JY_1olB1XN4rF0dxEuIIF-xsYjHgg/edit?usp=sharing"",""งบกองทุน!cc61"")"),120)</f>
        <v>120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IFERROR(__xludf.DUMMYFUNCTION("IMPORTRANGE(""https://docs.google.com/spreadsheets/d/1C3CXT74ZlgGe6_JY_1olB1XN4rF0dxEuIIF-xsYjHgg/edit?usp=sharing"",""งบกองทุน!cz61"")"),0)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IFERROR(__xludf.DUMMYFUNCTION("IMPORTRANGE(""https://docs.google.com/spreadsheets/d/1C3CXT74ZlgGe6_JY_1olB1XN4rF0dxEuIIF-xsYjHgg/edit?usp=sharing"",""งบกองทุน!cz61"")"),0)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IFERROR(__xludf.DUMMYFUNCTION("IMPORTRANGE(""https://docs.google.com/spreadsheets/d/1C3CXT74ZlgGe6_JY_1olB1XN4rF0dxEuIIF-xsYjHgg/edit?usp=sharing"",""งบกองทุน!cy61"")"),0)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IFERROR(__xludf.DUMMYFUNCTION("IMPORTRANGE(""https://docs.google.com/spreadsheets/d/1C3CXT74ZlgGe6_JY_1olB1XN4rF0dxEuIIF-xsYjHgg/edit?usp=sharing"",""งบกองทุน!db61"")"),0)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IFERROR(__xludf.DUMMYFUNCTION("IMPORTRANGE(""https://docs.google.com/spreadsheets/d/1C3CXT74ZlgGe6_JY_1olB1XN4rF0dxEuIIF-xsYjHgg/edit?usp=sharing"",""งบกองทุน!da61"")"),0)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IFERROR(__xludf.DUMMYFUNCTION("IMPORTRANGE(""https://docs.google.com/spreadsheets/d/1C3CXT74ZlgGe6_JY_1olB1XN4rF0dxEuIIF-xsYjHgg/edit?usp=sharing"",""งบกองทุน!dd61"")"),0)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IFERROR(__xludf.DUMMYFUNCTION("IMPORTRANGE(""https://docs.google.com/spreadsheets/d/1C3CXT74ZlgGe6_JY_1olB1XN4rF0dxEuIIF-xsYjHgg/edit?usp=sharing"",""งบกองทุน!dc61"")"),0)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IFERROR(__xludf.DUMMYFUNCTION("IMPORTRANGE(""https://docs.google.com/spreadsheets/d/1C3CXT74ZlgGe6_JY_1olB1XN4rF0dxEuIIF-xsYjHgg/edit?usp=sharing"",""งบกองทุน!df61"")"),0)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IFERROR(__xludf.DUMMYFUNCTION("IMPORTRANGE(""https://docs.google.com/spreadsheets/d/1C3CXT74ZlgGe6_JY_1olB1XN4rF0dxEuIIF-xsYjHgg/edit?usp=sharing"",""งบกองทุน!de61"")"),0)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34340</v>
      </c>
      <c r="M426" s="259">
        <f t="shared" si="92"/>
        <v>0</v>
      </c>
      <c r="N426" s="259">
        <f t="shared" ref="N426:N430" ca="1" si="93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0</v>
      </c>
      <c r="N428" s="52">
        <f t="shared" ca="1" si="93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IFERROR(__xludf.DUMMYFUNCTION("IMPORTRANGE(""https://docs.google.com/spreadsheets/d/1C3CXT74ZlgGe6_JY_1olB1XN4rF0dxEuIIF-xsYjHgg/edit?usp=sharing"",""งบกองทุน!dn61"")"),0)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IFERROR(__xludf.DUMMYFUNCTION("IMPORTRANGE(""https://docs.google.com/spreadsheets/d/1C3CXT74ZlgGe6_JY_1olB1XN4rF0dxEuIIF-xsYjHgg/edit?usp=sharing"",""งบกองทุน!do61"")"),34340)</f>
        <v>34340</v>
      </c>
      <c r="M430" s="52">
        <f>SUM(M431:M434)</f>
        <v>0</v>
      </c>
      <c r="N430" s="52">
        <f t="shared" ca="1" si="93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IFERROR(__xludf.DUMMYFUNCTION("IMPORTRANGE(""https://docs.google.com/spreadsheets/d/1C3CXT74ZlgGe6_JY_1olB1XN4rF0dxEuIIF-xsYjHgg/edit?usp=sharing"",""งบกองทุน!dq61"")"),22)</f>
        <v>22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IFERROR(__xludf.DUMMYFUNCTION("IMPORTRANGE(""https://docs.google.com/spreadsheets/d/1C3CXT74ZlgGe6_JY_1olB1XN4rF0dxEuIIF-xsYjHgg/edit?usp=sharing"",""งบกองทุน!dr61"")"),22)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IFERROR(__xludf.DUMMYFUNCTION("IMPORTRANGE(""https://docs.google.com/spreadsheets/d/1C3CXT74ZlgGe6_JY_1olB1XN4rF0dxEuIIF-xsYjHgg/edit?usp=sharing"",""งบกองทุน!dt61"")"),0)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IFERROR(__xludf.DUMMYFUNCTION("IMPORTRANGE(""https://docs.google.com/spreadsheets/d/1C3CXT74ZlgGe6_JY_1olB1XN4rF0dxEuIIF-xsYjHgg/edit?usp=sharing"",""งบกองทุน!du61"")"),0)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IFERROR(__xludf.DUMMYFUNCTION("IMPORTRANGE(""https://docs.google.com/spreadsheets/d/1C3CXT74ZlgGe6_JY_1olB1XN4rF0dxEuIIF-xsYjHgg/edit?usp=sharing"",""งบกองทุน!dw61"")"),0)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IFERROR(__xludf.DUMMYFUNCTION("IMPORTRANGE(""https://docs.google.com/spreadsheets/d/1C3CXT74ZlgGe6_JY_1olB1XN4rF0dxEuIIF-xsYjHgg/edit?usp=sharing"",""งบกองทุน!dx61"")"),0)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IFERROR(__xludf.DUMMYFUNCTION("IMPORTRANGE(""https://docs.google.com/spreadsheets/d/1C3CXT74ZlgGe6_JY_1olB1XN4rF0dxEuIIF-xsYjHgg/edit?usp=sharing"",""งบกองทุน!dy61"")"),0)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IFERROR(__xludf.DUMMYFUNCTION("IMPORTRANGE(""https://docs.google.com/spreadsheets/d/1C3CXT74ZlgGe6_JY_1olB1XN4rF0dxEuIIF-xsYjHgg/edit?usp=sharing"",""งบกองทุน!dz61"")"),0)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1800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140960</v>
      </c>
      <c r="M457" s="228">
        <f t="shared" si="101"/>
        <v>17233</v>
      </c>
      <c r="N457" s="228">
        <f t="shared" ref="N457:N461" ca="1" si="102">+IF(L457&gt;0,M457*100/L457,0)</f>
        <v>12.225454029511917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140960</v>
      </c>
      <c r="M459" s="52">
        <f t="shared" si="103"/>
        <v>17233</v>
      </c>
      <c r="N459" s="52">
        <f t="shared" ca="1" si="102"/>
        <v>12.225454029511917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IFERROR(__xludf.DUMMYFUNCTION("IMPORTRANGE(""https://docs.google.com/spreadsheets/d/1C3CXT74ZlgGe6_JY_1olB1XN4rF0dxEuIIF-xsYjHgg/edit?usp=sharing"",""งบกองทุน!Eb61"")"),0)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IFERROR(__xludf.DUMMYFUNCTION("IMPORTRANGE(""https://docs.google.com/spreadsheets/d/1C3CXT74ZlgGe6_JY_1olB1XN4rF0dxEuIIF-xsYjHgg/edit?usp=sharing"",""งบกองทุน!Ec61"")"),140960)</f>
        <v>140960</v>
      </c>
      <c r="M461" s="52">
        <f>SUM(M462:M465)</f>
        <v>17233</v>
      </c>
      <c r="N461" s="52">
        <f t="shared" ca="1" si="102"/>
        <v>12.225454029511917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17233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IFERROR(__xludf.DUMMYFUNCTION("IMPORTRANGE(""https://docs.google.com/spreadsheets/d/1C3CXT74ZlgGe6_JY_1olB1XN4rF0dxEuIIF-xsYjHgg/edit?usp=sharing"",""งบกองทุน!Ed61"")"),1800)</f>
        <v>1800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IFERROR(__xludf.DUMMYFUNCTION("IMPORTRANGE(""https://docs.google.com/spreadsheets/d/1C3CXT74ZlgGe6_JY_1olB1XN4rF0dxEuIIF-xsYjHgg/edit?usp=sharing"",""งบกองทุน!Ek61"")"),0)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IFERROR(__xludf.DUMMYFUNCTION("IMPORTRANGE(""https://docs.google.com/spreadsheets/d/1C3CXT74ZlgGe6_JY_1olB1XN4rF0dxEuIIF-xsYjHgg/edit?usp=sharing"",""งบกองทุน!El61"")"),0)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IFERROR(__xludf.DUMMYFUNCTION("IMPORTRANGE(""https://docs.google.com/spreadsheets/d/1C3CXT74ZlgGe6_JY_1olB1XN4rF0dxEuIIF-xsYjHgg/edit?usp=sharing"",""งบกองทุน!Em61"")"),0)</f>
        <v>0</v>
      </c>
      <c r="J482" s="66">
        <f ca="1">IFERROR(__xludf.DUMMYFUNCTION("IMPORTRANGE(""https://docs.google.com/spreadsheets/d/1AGHcLOeeYFL3K4b9R1dSzyJy00PE_ra89DNTVfnxSWM/edit?usp=sharing"",""รวมที่ชุมชน!G50"")"),69)</f>
        <v>69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IFERROR(__xludf.DUMMYFUNCTION("IMPORTRANGE(""https://docs.google.com/spreadsheets/d/1C3CXT74ZlgGe6_JY_1olB1XN4rF0dxEuIIF-xsYjHgg/edit?usp=sharing"",""งบกองทุน!En61"")"),0)</f>
        <v>0</v>
      </c>
      <c r="J483" s="66">
        <f ca="1">IFERROR(__xludf.DUMMYFUNCTION("IMPORTRANGE(""https://docs.google.com/spreadsheets/d/1AGHcLOeeYFL3K4b9R1dSzyJy00PE_ra89DNTVfnxSWM/edit?usp=sharing"",""รวมที่ชุมชน!H50"")"),49.62)</f>
        <v>49.62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IFERROR(__xludf.DUMMYFUNCTION("IMPORTRANGE(""https://docs.google.com/spreadsheets/d/1C3CXT74ZlgGe6_JY_1olB1XN4rF0dxEuIIF-xsYjHgg/edit?usp=sharing"",""งบกองทุน!Eo61"")"),0)</f>
        <v>0</v>
      </c>
      <c r="J484" s="66">
        <f ca="1">IFERROR(__xludf.DUMMYFUNCTION("IMPORTRANGE(""https://docs.google.com/spreadsheets/d/1AGHcLOeeYFL3K4b9R1dSzyJy00PE_ra89DNTVfnxSWM/edit?usp=sharing"",""รวมที่ชุมชน!J50"")"),0)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IFERROR(__xludf.DUMMYFUNCTION("IMPORTRANGE(""https://docs.google.com/spreadsheets/d/1C3CXT74ZlgGe6_JY_1olB1XN4rF0dxEuIIF-xsYjHgg/edit?usp=sharing"",""งบกองทุน!Ep61"")"),0)</f>
        <v>0</v>
      </c>
      <c r="J485" s="66">
        <f ca="1">IFERROR(__xludf.DUMMYFUNCTION("IMPORTRANGE(""https://docs.google.com/spreadsheets/d/1AGHcLOeeYFL3K4b9R1dSzyJy00PE_ra89DNTVfnxSWM/edit?usp=sharing"",""รวมที่ชุมชน!L50"")"),0)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IFERROR(__xludf.DUMMYFUNCTION("IMPORTRANGE(""https://docs.google.com/spreadsheets/d/1C3CXT74ZlgGe6_JY_1olB1XN4rF0dxEuIIF-xsYjHgg/edit?usp=sharing"",""งบกองทุน!Eq61"")"),0)</f>
        <v>0</v>
      </c>
      <c r="J486" s="66">
        <f ca="1">IFERROR(__xludf.DUMMYFUNCTION("IMPORTRANGE(""https://docs.google.com/spreadsheets/d/1AGHcLOeeYFL3K4b9R1dSzyJy00PE_ra89DNTVfnxSWM/edit?usp=sharing"",""รวมที่ชุมชน!S50"")"),0)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IFERROR(__xludf.DUMMYFUNCTION("IMPORTRANGE(""https://docs.google.com/spreadsheets/d/1C3CXT74ZlgGe6_JY_1olB1XN4rF0dxEuIIF-xsYjHgg/edit?usp=sharing"",""งบกองทุน!Er61"")"),0)</f>
        <v>0</v>
      </c>
      <c r="J487" s="66">
        <f ca="1">IFERROR(__xludf.DUMMYFUNCTION("IMPORTRANGE(""https://docs.google.com/spreadsheets/d/1AGHcLOeeYFL3K4b9R1dSzyJy00PE_ra89DNTVfnxSWM/edit?usp=sharing"",""รวมที่ชุมชน!U50"")"),0)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IFERROR(__xludf.DUMMYFUNCTION("IMPORTRANGE(""https://docs.google.com/spreadsheets/d/1C3CXT74ZlgGe6_JY_1olB1XN4rF0dxEuIIF-xsYjHgg/edit?usp=sharing"",""งบกองทุน!Es61"")"),0)</f>
        <v>0</v>
      </c>
      <c r="J488" s="66">
        <f ca="1">IFERROR(__xludf.DUMMYFUNCTION("IMPORTRANGE(""https://docs.google.com/spreadsheets/d/1AGHcLOeeYFL3K4b9R1dSzyJy00PE_ra89DNTVfnxSWM/edit?usp=sharing"",""รวมที่ชุมชน!V50"")"),0)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IFERROR(__xludf.DUMMYFUNCTION("IMPORTRANGE(""https://docs.google.com/spreadsheets/d/1C3CXT74ZlgGe6_JY_1olB1XN4rF0dxEuIIF-xsYjHgg/edit?usp=sharing"",""งบกองทุน!Et61"")"),0)</f>
        <v>0</v>
      </c>
      <c r="J489" s="111">
        <f ca="1">IFERROR(__xludf.DUMMYFUNCTION("IMPORTRANGE(""https://docs.google.com/spreadsheets/d/1AGHcLOeeYFL3K4b9R1dSzyJy00PE_ra89DNTVfnxSWM/edit?usp=sharing"",""รวมที่ชุมชน!X50"")"),0)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52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5460</v>
      </c>
      <c r="M490" s="259">
        <f>SUM(M491:M492)</f>
        <v>900</v>
      </c>
      <c r="N490" s="259">
        <f t="shared" ref="N490:N494" ca="1" si="109">+IF(L490&gt;0,M490*100/L490,0)</f>
        <v>16.483516483516482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5460</v>
      </c>
      <c r="M492" s="52">
        <f t="shared" si="110"/>
        <v>900</v>
      </c>
      <c r="N492" s="52">
        <f t="shared" ca="1" si="109"/>
        <v>16.483516483516482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IFERROR(__xludf.DUMMYFUNCTION("IMPORTRANGE(""https://docs.google.com/spreadsheets/d/1C3CXT74ZlgGe6_JY_1olB1XN4rF0dxEuIIF-xsYjHgg/edit?usp=sharing"",""งบกองทุน!Ev61"")"),0)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IFERROR(__xludf.DUMMYFUNCTION("IMPORTRANGE(""https://docs.google.com/spreadsheets/d/1C3CXT74ZlgGe6_JY_1olB1XN4rF0dxEuIIF-xsYjHgg/edit?usp=sharing"",""งบกองทุน!Ew61"")"),5460)</f>
        <v>5460</v>
      </c>
      <c r="M494" s="52">
        <f>SUM(M495:M498)</f>
        <v>900</v>
      </c>
      <c r="N494" s="52">
        <f t="shared" ca="1" si="109"/>
        <v>16.483516483516482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900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1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IFERROR(__xludf.DUMMYFUNCTION("IMPORTRANGE(""https://docs.google.com/spreadsheets/d/1C3CXT74ZlgGe6_JY_1olB1XN4rF0dxEuIIF-xsYjHgg/edit?usp=sharing"",""งบกองทุน!EZ61"")"),52)</f>
        <v>52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IFERROR(__xludf.DUMMYFUNCTION("IMPORTRANGE(""https://docs.google.com/spreadsheets/d/1C3CXT74ZlgGe6_JY_1olB1XN4rF0dxEuIIF-xsYjHgg/edit?usp=sharing"",""งบกองทุน!ff61"")"),0)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IFERROR(__xludf.DUMMYFUNCTION("IMPORTRANGE(""https://docs.google.com/spreadsheets/d/1muirlRDkqiswvy_NRZ3Yh955hx-PF6_HhssUYiSJj8o/edit?usp=sharing"",""กองทุน!D61"")"),3842037.07)</f>
        <v>3842037.07</v>
      </c>
      <c r="J521" s="199">
        <f ca="1">IFERROR(__xludf.DUMMYFUNCTION("IMPORTRANGE(""https://docs.google.com/spreadsheets/d/1muirlRDkqiswvy_NRZ3Yh955hx-PF6_HhssUYiSJj8o/edit?usp=sharing"",""กองทุน!F61"")"),15000)</f>
        <v>15000</v>
      </c>
      <c r="K521" s="200">
        <f t="shared" ref="K521:K528" ca="1" si="116">IF(I521&gt;0,J521*100/I521,0)</f>
        <v>0.39041788839377339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IFERROR(__xludf.DUMMYFUNCTION("IMPORTRANGE(""https://docs.google.com/spreadsheets/d/1muirlRDkqiswvy_NRZ3Yh955hx-PF6_HhssUYiSJj8o/edit?usp=sharing"",""กองทุน!C61"")"),157)</f>
        <v>157</v>
      </c>
      <c r="J522" s="199">
        <f ca="1">IFERROR(__xludf.DUMMYFUNCTION("IMPORTRANGE(""https://docs.google.com/spreadsheets/d/1muirlRDkqiswvy_NRZ3Yh955hx-PF6_HhssUYiSJj8o/edit?usp=sharing"",""กองทุน!E61"")"),1)</f>
        <v>1</v>
      </c>
      <c r="K522" s="200">
        <f t="shared" ca="1" si="116"/>
        <v>0.63694267515923564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IFERROR(__xludf.DUMMYFUNCTION("IMPORTRANGE(""https://docs.google.com/spreadsheets/d/1muirlRDkqiswvy_NRZ3Yh955hx-PF6_HhssUYiSJj8o/edit?usp=sharing"",""กองทุน!I61"")"),10407385.09)</f>
        <v>10407385.09</v>
      </c>
      <c r="J523" s="199">
        <f ca="1">IFERROR(__xludf.DUMMYFUNCTION("IMPORTRANGE(""https://docs.google.com/spreadsheets/d/1muirlRDkqiswvy_NRZ3Yh955hx-PF6_HhssUYiSJj8o/edit?usp=sharing"",""กองทุน!K61"")"),150063.64)</f>
        <v>150063.64000000001</v>
      </c>
      <c r="K523" s="200">
        <f t="shared" ca="1" si="116"/>
        <v>1.4418957183028578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IFERROR(__xludf.DUMMYFUNCTION("IMPORTRANGE(""https://docs.google.com/spreadsheets/d/1muirlRDkqiswvy_NRZ3Yh955hx-PF6_HhssUYiSJj8o/edit?usp=sharing"",""กองทุน!H61"")"),275)</f>
        <v>275</v>
      </c>
      <c r="J524" s="199">
        <f ca="1">IFERROR(__xludf.DUMMYFUNCTION("IMPORTRANGE(""https://docs.google.com/spreadsheets/d/1muirlRDkqiswvy_NRZ3Yh955hx-PF6_HhssUYiSJj8o/edit?usp=sharing"",""กองทุน!J61"")"),16)</f>
        <v>16</v>
      </c>
      <c r="K524" s="200">
        <f t="shared" ca="1" si="116"/>
        <v>5.8181818181818183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IFERROR(__xludf.DUMMYFUNCTION("IMPORTRANGE(""https://docs.google.com/spreadsheets/d/1muirlRDkqiswvy_NRZ3Yh955hx-PF6_HhssUYiSJj8o/edit?usp=sharing"",""กองทุน!N61"")"),4541062.79)</f>
        <v>4541062.79</v>
      </c>
      <c r="J525" s="199">
        <f ca="1">IFERROR(__xludf.DUMMYFUNCTION("IMPORTRANGE(""https://docs.google.com/spreadsheets/d/1muirlRDkqiswvy_NRZ3Yh955hx-PF6_HhssUYiSJj8o/edit?usp=sharing"",""กองทุน!P61"")"),183091.48)</f>
        <v>183091.48</v>
      </c>
      <c r="K525" s="200">
        <f t="shared" ca="1" si="116"/>
        <v>4.031908133998737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IFERROR(__xludf.DUMMYFUNCTION("IMPORTRANGE(""https://docs.google.com/spreadsheets/d/1muirlRDkqiswvy_NRZ3Yh955hx-PF6_HhssUYiSJj8o/edit?usp=sharing"",""กองทุน!M61"")"),1208)</f>
        <v>1208</v>
      </c>
      <c r="J526" s="199">
        <f ca="1">IFERROR(__xludf.DUMMYFUNCTION("IMPORTRANGE(""https://docs.google.com/spreadsheets/d/1muirlRDkqiswvy_NRZ3Yh955hx-PF6_HhssUYiSJj8o/edit?usp=sharing"",""กองทุน!O61"")"),54)</f>
        <v>54</v>
      </c>
      <c r="K526" s="200">
        <f t="shared" ca="1" si="116"/>
        <v>4.4701986754966887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IFERROR(__xludf.DUMMYFUNCTION("IMPORTRANGE(""https://docs.google.com/spreadsheets/d/1muirlRDkqiswvy_NRZ3Yh955hx-PF6_HhssUYiSJj8o/edit?usp=sharing"",""กองทุน!S61"")"),3000000)</f>
        <v>3000000</v>
      </c>
      <c r="J527" s="199">
        <f ca="1">IFERROR(__xludf.DUMMYFUNCTION("IMPORTRANGE(""https://docs.google.com/spreadsheets/d/1muirlRDkqiswvy_NRZ3Yh955hx-PF6_HhssUYiSJj8o/edit?usp=sharing"",""กองทุน!U61"")"),0)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IFERROR(__xludf.DUMMYFUNCTION("IMPORTRANGE(""https://docs.google.com/spreadsheets/d/1muirlRDkqiswvy_NRZ3Yh955hx-PF6_HhssUYiSJj8o/edit?usp=sharing"",""กองทุน!R61"")"),100)</f>
        <v>100</v>
      </c>
      <c r="J528" s="324">
        <f ca="1">IFERROR(__xludf.DUMMYFUNCTION("IMPORTRANGE(""https://docs.google.com/spreadsheets/d/1muirlRDkqiswvy_NRZ3Yh955hx-PF6_HhssUYiSJj8o/edit?usp=sharing"",""กองทุน!T61"")"),0)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225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1932460</v>
      </c>
      <c r="M6" s="16">
        <f t="shared" si="0"/>
        <v>178341.96000000002</v>
      </c>
      <c r="N6" s="17">
        <f ca="1">IF(L6&gt;0,M6*100/L6,0)</f>
        <v>9.2287529884189077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66" t="s">
        <v>21</v>
      </c>
      <c r="J11" s="66"/>
      <c r="K11" s="232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66"/>
      <c r="J12" s="66"/>
      <c r="K12" s="232"/>
      <c r="L12" s="52">
        <f ca="1">IFERROR(__xludf.DUMMYFUNCTION("IMPORTRANGE(""https://docs.google.com/spreadsheets/d/1C3CXT74ZlgGe6_JY_1olB1XN4rF0dxEuIIF-xsYjHgg/edit?usp=sharing"",""พรบ!C62"")"),0)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66"/>
      <c r="J13" s="66"/>
      <c r="K13" s="232"/>
      <c r="L13" s="52">
        <f ca="1">IFERROR(__xludf.DUMMYFUNCTION("IMPORTRANGE(""https://docs.google.com/spreadsheets/d/1C3CXT74ZlgGe6_JY_1olB1XN4rF0dxEuIIF-xsYjHgg/edit?usp=sharing"",""พรบ!D62"")"),0)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66"/>
      <c r="J14" s="66"/>
      <c r="K14" s="232"/>
      <c r="L14" s="52">
        <f ca="1">IFERROR(__xludf.DUMMYFUNCTION("IMPORTRANGE(""https://docs.google.com/spreadsheets/d/1C3CXT74ZlgGe6_JY_1olB1XN4rF0dxEuIIF-xsYjHgg/edit?usp=sharing"",""พรบ!E62"")"),0)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IFERROR(__xludf.DUMMYFUNCTION("IMPORTRANGE(""https://docs.google.com/spreadsheets/d/1C3CXT74ZlgGe6_JY_1olB1XN4rF0dxEuIIF-xsYjHgg/edit?usp=sharing"",""พรบ!H62"")"),0)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IFERROR(__xludf.DUMMYFUNCTION("IMPORTRANGE(""https://docs.google.com/spreadsheets/d/1C3CXT74ZlgGe6_JY_1olB1XN4rF0dxEuIIF-xsYjHgg/edit?usp=sharing"",""พรบ!I62"")"),0)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IFERROR(__xludf.DUMMYFUNCTION("IMPORTRANGE(""https://docs.google.com/spreadsheets/d/1C3CXT74ZlgGe6_JY_1olB1XN4rF0dxEuIIF-xsYjHgg/edit?usp=sharing"",""พรบ!J62"")"),0)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IFERROR(__xludf.DUMMYFUNCTION("IMPORTRANGE(""https://docs.google.com/spreadsheets/d/1C3CXT74ZlgGe6_JY_1olB1XN4rF0dxEuIIF-xsYjHgg/edit?usp=sharing"",""พรบ!K62"")"),0)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IFERROR(__xludf.DUMMYFUNCTION("IMPORTRANGE(""https://docs.google.com/spreadsheets/d/1C3CXT74ZlgGe6_JY_1olB1XN4rF0dxEuIIF-xsYjHgg/edit?usp=sharing"",""พรบ!L62"")"),0)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IFERROR(__xludf.DUMMYFUNCTION("IMPORTRANGE(""https://docs.google.com/spreadsheets/d/1C3CXT74ZlgGe6_JY_1olB1XN4rF0dxEuIIF-xsYjHgg/edit?usp=sharing"",""พรบ!M62"")"),0)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66">
        <f ca="1">IFERROR(__xludf.DUMMYFUNCTION("IMPORTRANGE(""https://docs.google.com/spreadsheets/d/1C3CXT74ZlgGe6_JY_1olB1XN4rF0dxEuIIF-xsYjHgg/edit?usp=sharing"",""พรบ!N62"")"),0)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122100</v>
      </c>
      <c r="M32" s="96">
        <f>SUM(M34:M35)</f>
        <v>5900</v>
      </c>
      <c r="N32" s="39">
        <f ca="1">IF(L32&gt;0,M32*100/L32,0)</f>
        <v>4.8321048321048323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1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IFERROR(__xludf.DUMMYFUNCTION("IMPORTRANGE(""https://docs.google.com/spreadsheets/d/1C3CXT74ZlgGe6_JY_1olB1XN4rF0dxEuIIF-xsYjHgg/edit?usp=sharing"",""พรบ!O62"")"),122100)</f>
        <v>122100</v>
      </c>
      <c r="M35" s="49">
        <f>SUM(M36:M37)</f>
        <v>5900</v>
      </c>
      <c r="N35" s="49">
        <f t="shared" ca="1" si="10"/>
        <v>4.8321048321048323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IFERROR(__xludf.DUMMYFUNCTION("IMPORTRANGE(""https://docs.google.com/spreadsheets/d/1C3CXT74ZlgGe6_JY_1olB1XN4rF0dxEuIIF-xsYjHgg/edit?usp=sharing"",""พรบ!P62"")"),0)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47"/>
      <c r="K37" s="48"/>
      <c r="L37" s="52">
        <f ca="1">IFERROR(__xludf.DUMMYFUNCTION("IMPORTRANGE(""https://docs.google.com/spreadsheets/d/1C3CXT74ZlgGe6_JY_1olB1XN4rF0dxEuIIF-xsYjHgg/edit?usp=sharing"",""พรบ!Q62"")"),122100)</f>
        <v>122100</v>
      </c>
      <c r="M37" s="53">
        <v>5900</v>
      </c>
      <c r="N37" s="52">
        <f t="shared" ca="1" si="10"/>
        <v>4.8321048321048323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47"/>
      <c r="K38" s="48"/>
      <c r="L38" s="60"/>
      <c r="M38" s="60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7">
        <v>0</v>
      </c>
      <c r="K39" s="48"/>
      <c r="L39" s="60"/>
      <c r="M39" s="60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7">
        <v>1</v>
      </c>
      <c r="K40" s="48"/>
      <c r="L40" s="60" t="s">
        <v>21</v>
      </c>
      <c r="M40" s="60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7">
        <v>1</v>
      </c>
      <c r="K41" s="48"/>
      <c r="L41" s="60"/>
      <c r="M41" s="60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7">
        <v>0</v>
      </c>
      <c r="K42" s="48"/>
      <c r="L42" s="60"/>
      <c r="M42" s="60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IFERROR(__xludf.DUMMYFUNCTION("IMPORTRANGE(""https://docs.google.com/spreadsheets/d/1C3CXT74ZlgGe6_JY_1olB1XN4rF0dxEuIIF-xsYjHgg/edit?usp=sharing"",""พรบ!R62"")"),1)</f>
        <v>1</v>
      </c>
      <c r="J43" s="67">
        <v>0</v>
      </c>
      <c r="K43" s="48">
        <f t="shared" ref="K43:K48" ca="1" si="11">IF(I43&gt;0,J43*100/I43,0)</f>
        <v>0</v>
      </c>
      <c r="L43" s="60"/>
      <c r="M43" s="60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IFERROR(__xludf.DUMMYFUNCTION("IMPORTRANGE(""https://docs.google.com/spreadsheets/d/1C3CXT74ZlgGe6_JY_1olB1XN4rF0dxEuIIF-xsYjHgg/edit?usp=sharing"",""พรบ!S62"")"),4)</f>
        <v>4</v>
      </c>
      <c r="J44" s="67">
        <v>0</v>
      </c>
      <c r="K44" s="48">
        <f t="shared" ca="1" si="11"/>
        <v>0</v>
      </c>
      <c r="L44" s="60"/>
      <c r="M44" s="60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IFERROR(__xludf.DUMMYFUNCTION("IMPORTRANGE(""https://docs.google.com/spreadsheets/d/1C3CXT74ZlgGe6_JY_1olB1XN4rF0dxEuIIF-xsYjHgg/edit?usp=sharing"",""พรบ!T62"")"),4)</f>
        <v>4</v>
      </c>
      <c r="J45" s="67">
        <v>0</v>
      </c>
      <c r="K45" s="48">
        <f t="shared" ca="1" si="11"/>
        <v>0</v>
      </c>
      <c r="L45" s="60"/>
      <c r="M45" s="60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IFERROR(__xludf.DUMMYFUNCTION("IMPORTRANGE(""https://docs.google.com/spreadsheets/d/1C3CXT74ZlgGe6_JY_1olB1XN4rF0dxEuIIF-xsYjHgg/edit?usp=sharing"",""พรบ!U62"")"),4)</f>
        <v>4</v>
      </c>
      <c r="J46" s="67">
        <v>0</v>
      </c>
      <c r="K46" s="48">
        <f t="shared" ca="1" si="11"/>
        <v>0</v>
      </c>
      <c r="L46" s="60"/>
      <c r="M46" s="60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IFERROR(__xludf.DUMMYFUNCTION("IMPORTRANGE(""https://docs.google.com/spreadsheets/d/1C3CXT74ZlgGe6_JY_1olB1XN4rF0dxEuIIF-xsYjHgg/edit?usp=sharing"",""พรบ!V62"")"),4)</f>
        <v>4</v>
      </c>
      <c r="J47" s="67">
        <v>0</v>
      </c>
      <c r="K47" s="48">
        <f t="shared" ca="1" si="11"/>
        <v>0</v>
      </c>
      <c r="L47" s="60"/>
      <c r="M47" s="60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IFERROR(__xludf.DUMMYFUNCTION("IMPORTRANGE(""https://docs.google.com/spreadsheets/d/1C3CXT74ZlgGe6_JY_1olB1XN4rF0dxEuIIF-xsYjHgg/edit?usp=sharing"",""พรบ!W62"")"),1)</f>
        <v>1</v>
      </c>
      <c r="J48" s="67">
        <v>0</v>
      </c>
      <c r="K48" s="48">
        <f t="shared" ca="1" si="11"/>
        <v>0</v>
      </c>
      <c r="L48" s="60"/>
      <c r="M48" s="60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7">
        <v>0</v>
      </c>
      <c r="K49" s="48"/>
      <c r="L49" s="60"/>
      <c r="M49" s="60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84">
        <v>0</v>
      </c>
      <c r="K50" s="48"/>
      <c r="L50" s="60"/>
      <c r="M50" s="60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20</v>
      </c>
      <c r="J52" s="38">
        <f>+J62</f>
        <v>0</v>
      </c>
      <c r="K52" s="39">
        <f ca="1">IF(I52&gt;0,J52*100/I52,0)</f>
        <v>0</v>
      </c>
      <c r="L52" s="40">
        <f ca="1">L53+L54</f>
        <v>82440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82440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IFERROR(__xludf.DUMMYFUNCTION("IMPORTRANGE(""https://docs.google.com/spreadsheets/d/1C3CXT74ZlgGe6_JY_1olB1XN4rF0dxEuIIF-xsYjHgg/edit?usp=sharing"",""พรบ!Y62"")"),0)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47"/>
      <c r="K56" s="48"/>
      <c r="L56" s="52">
        <f ca="1">IFERROR(__xludf.DUMMYFUNCTION("IMPORTRANGE(""https://docs.google.com/spreadsheets/d/1C3CXT74ZlgGe6_JY_1olB1XN4rF0dxEuIIF-xsYjHgg/edit?usp=sharing"",""พรบ!Z62"")"),82440)</f>
        <v>82440</v>
      </c>
      <c r="M56" s="53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47"/>
      <c r="K57" s="48"/>
      <c r="L57" s="60"/>
      <c r="M57" s="60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7"/>
      <c r="K58" s="48"/>
      <c r="L58" s="60"/>
      <c r="M58" s="60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>
        <v>1</v>
      </c>
      <c r="J59" s="67">
        <v>1</v>
      </c>
      <c r="K59" s="48"/>
      <c r="L59" s="60" t="s">
        <v>21</v>
      </c>
      <c r="M59" s="60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>
        <v>1</v>
      </c>
      <c r="J60" s="67">
        <v>1</v>
      </c>
      <c r="K60" s="48"/>
      <c r="L60" s="60"/>
      <c r="M60" s="60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7">
        <v>0</v>
      </c>
      <c r="K61" s="48"/>
      <c r="L61" s="60"/>
      <c r="M61" s="60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IFERROR(__xludf.DUMMYFUNCTION("IMPORTRANGE(""https://docs.google.com/spreadsheets/d/1C3CXT74ZlgGe6_JY_1olB1XN4rF0dxEuIIF-xsYjHgg/edit?usp=sharing"",""พรบ!AA62"")"),20)</f>
        <v>20</v>
      </c>
      <c r="J62" s="67">
        <v>0</v>
      </c>
      <c r="K62" s="48">
        <f t="shared" ref="K62:K63" ca="1" si="14">IF(I62&gt;0,J62*100/I62,0)</f>
        <v>0</v>
      </c>
      <c r="L62" s="60"/>
      <c r="M62" s="60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20</v>
      </c>
      <c r="J63" s="67">
        <v>0</v>
      </c>
      <c r="K63" s="48">
        <f t="shared" ca="1" si="14"/>
        <v>0</v>
      </c>
      <c r="L63" s="60"/>
      <c r="M63" s="60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7">
        <v>0</v>
      </c>
      <c r="K64" s="48"/>
      <c r="L64" s="60"/>
      <c r="M64" s="60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112">
        <v>0</v>
      </c>
      <c r="K65" s="113"/>
      <c r="L65" s="114"/>
      <c r="M65" s="114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55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323600</v>
      </c>
      <c r="M68" s="138">
        <f t="shared" si="16"/>
        <v>18858.48</v>
      </c>
      <c r="N68" s="137">
        <f ca="1">IF(L68&gt;0,M68*100/L68,0)</f>
        <v>5.8277132262051916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323600</v>
      </c>
      <c r="M71" s="139">
        <f>SUM(M72:M73)</f>
        <v>18858.48</v>
      </c>
      <c r="N71" s="49">
        <f t="shared" ca="1" si="17"/>
        <v>5.8277132262051916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IFERROR(__xludf.DUMMYFUNCTION("IMPORTRANGE(""https://docs.google.com/spreadsheets/d/1C3CXT74ZlgGe6_JY_1olB1XN4rF0dxEuIIF-xsYjHgg/edit?usp=sharing"",""พรบ!AD62"")"),132000)</f>
        <v>132000</v>
      </c>
      <c r="M72" s="53">
        <v>15618.48</v>
      </c>
      <c r="N72" s="52">
        <f t="shared" ca="1" si="17"/>
        <v>11.832181818181818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191600</v>
      </c>
      <c r="M73" s="52">
        <f t="shared" si="18"/>
        <v>3240</v>
      </c>
      <c r="N73" s="52">
        <f t="shared" ca="1" si="17"/>
        <v>1.6910229645093946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2500</v>
      </c>
      <c r="N74" s="147">
        <f t="shared" ca="1" si="17"/>
        <v>33.333333333333336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2500</v>
      </c>
      <c r="N76" s="49">
        <f t="shared" ca="1" si="17"/>
        <v>33.333333333333336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IFERROR(__xludf.DUMMYFUNCTION("IMPORTRANGE(""https://docs.google.com/spreadsheets/d/1C3CXT74ZlgGe6_JY_1olB1XN4rF0dxEuIIF-xsYjHgg/edit?usp=sharing"",""พรบ!AF62"")"),7500)</f>
        <v>7500</v>
      </c>
      <c r="M77" s="53">
        <v>2500</v>
      </c>
      <c r="N77" s="52">
        <f t="shared" ca="1" si="17"/>
        <v>33.333333333333336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0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1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1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IFERROR(__xludf.DUMMYFUNCTION("IMPORTRANGE(""https://docs.google.com/spreadsheets/d/1C3CXT74ZlgGe6_JY_1olB1XN4rF0dxEuIIF-xsYjHgg/edit?usp=sharing"",""พรบ!AG62"")"),4)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67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67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4</v>
      </c>
      <c r="J89" s="149">
        <f t="shared" si="21"/>
        <v>1</v>
      </c>
      <c r="K89" s="150">
        <f ca="1">IF(I89&gt;0,J89*100/I89,0)</f>
        <v>25</v>
      </c>
      <c r="L89" s="147">
        <f ca="1">L90+L91</f>
        <v>56000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56000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IFERROR(__xludf.DUMMYFUNCTION("IMPORTRANGE(""https://docs.google.com/spreadsheets/d/1C3CXT74ZlgGe6_JY_1olB1XN4rF0dxEuIIF-xsYjHgg/edit?usp=sharing"",""พรบ!AH62"")"),56000)</f>
        <v>56000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IFERROR(__xludf.DUMMYFUNCTION("IMPORTRANGE(""https://docs.google.com/spreadsheets/d/1C3CXT74ZlgGe6_JY_1olB1XN4rF0dxEuIIF-xsYjHgg/edit?usp=sharing"",""พรบ!AI62"")"),4)</f>
        <v>4</v>
      </c>
      <c r="J98" s="67">
        <v>1</v>
      </c>
      <c r="K98" s="48">
        <f ca="1">IF(I98&gt;0,J98*100/I98,0)</f>
        <v>25</v>
      </c>
      <c r="L98" s="52">
        <f ca="1">IFERROR(__xludf.DUMMYFUNCTION("IMPORTRANGE(""https://docs.google.com/spreadsheets/d/1C3CXT74ZlgGe6_JY_1olB1XN4rF0dxEuIIF-xsYjHgg/edit?usp=sharing"",""กปร!C62"")"),48000)</f>
        <v>48000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IFERROR(__xludf.DUMMYFUNCTION("IMPORTRANGE(""https://docs.google.com/spreadsheets/d/1C3CXT74ZlgGe6_JY_1olB1XN4rF0dxEuIIF-xsYjHgg/edit?usp=sharing"",""พรบ!AJ62"")"),0)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IFERROR(__xludf.DUMMYFUNCTION("IMPORTRANGE(""https://docs.google.com/spreadsheets/d/1C3CXT74ZlgGe6_JY_1olB1XN4rF0dxEuIIF-xsYjHgg/edit?usp=sharing"",""พรบ!AK62"")"),0)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IFERROR(__xludf.DUMMYFUNCTION("IMPORTRANGE(""https://docs.google.com/spreadsheets/d/1C3CXT74ZlgGe6_JY_1olB1XN4rF0dxEuIIF-xsYjHgg/edit?usp=sharing"",""กปร!D62"")"),0)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IFERROR(__xludf.DUMMYFUNCTION("IMPORTRANGE(""https://docs.google.com/spreadsheets/d/1C3CXT74ZlgGe6_JY_1olB1XN4rF0dxEuIIF-xsYjHgg/edit?usp=sharing"",""พรบ!AL62"")"),0)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IFERROR(__xludf.DUMMYFUNCTION("IMPORTRANGE(""https://docs.google.com/spreadsheets/d/1C3CXT74ZlgGe6_JY_1olB1XN4rF0dxEuIIF-xsYjHgg/edit?usp=sharing"",""กปร!E62"")"),0)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5000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21900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21900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IFERROR(__xludf.DUMMYFUNCTION("IMPORTRANGE(""https://docs.google.com/spreadsheets/d/1C3CXT74ZlgGe6_JY_1olB1XN4rF0dxEuIIF-xsYjHgg/edit?usp=sharing"",""พรบ!AM62"")"),21900)</f>
        <v>21900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IFERROR(__xludf.DUMMYFUNCTION("IMPORTRANGE(""https://docs.google.com/spreadsheets/d/1C3CXT74ZlgGe6_JY_1olB1XN4rF0dxEuIIF-xsYjHgg/edit?usp=sharing"",""พรบ!AO62"")"),5000)</f>
        <v>5000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IFERROR(__xludf.DUMMYFUNCTION("IMPORTRANGE(""https://docs.google.com/spreadsheets/d/1C3CXT74ZlgGe6_JY_1olB1XN4rF0dxEuIIF-xsYjHgg/edit?usp=sharing"",""พรบ!AP62"")"),5000)</f>
        <v>5000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IFERROR(__xludf.DUMMYFUNCTION("IMPORTRANGE(""https://docs.google.com/spreadsheets/d/1C3CXT74ZlgGe6_JY_1olB1XN4rF0dxEuIIF-xsYjHgg/edit?usp=sharing"",""กปร!F62"")"),2900)</f>
        <v>2900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IFERROR(__xludf.DUMMYFUNCTION("IMPORTRANGE(""https://docs.google.com/spreadsheets/d/1C3CXT74ZlgGe6_JY_1olB1XN4rF0dxEuIIF-xsYjHgg/edit?usp=sharing"",""พรบ!AQ62"")"),15)</f>
        <v>15</v>
      </c>
      <c r="J126" s="67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IFERROR(__xludf.DUMMYFUNCTION("IMPORTRANGE(""https://docs.google.com/spreadsheets/d/1C3CXT74ZlgGe6_JY_1olB1XN4rF0dxEuIIF-xsYjHgg/edit?usp=sharing"",""กปร!G62"")"),15000)</f>
        <v>15000</v>
      </c>
      <c r="M126" s="361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221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40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106200</v>
      </c>
      <c r="M129" s="147">
        <f>SUM(M130:M131)</f>
        <v>740</v>
      </c>
      <c r="N129" s="147">
        <f t="shared" ref="N129:N132" ca="1" si="33">+IF(L129&gt;0,M129*100/L129,0)</f>
        <v>0.69679849340866296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106200</v>
      </c>
      <c r="M131" s="49">
        <f>M132</f>
        <v>740</v>
      </c>
      <c r="N131" s="49">
        <f t="shared" ca="1" si="33"/>
        <v>0.69679849340866296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IFERROR(__xludf.DUMMYFUNCTION("IMPORTRANGE(""https://docs.google.com/spreadsheets/d/1C3CXT74ZlgGe6_JY_1olB1XN4rF0dxEuIIF-xsYjHgg/edit?usp=sharing"",""พรบ!AR62"")"),106200)</f>
        <v>106200</v>
      </c>
      <c r="M132" s="53">
        <v>740</v>
      </c>
      <c r="N132" s="52">
        <f t="shared" ca="1" si="33"/>
        <v>0.69679849340866296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1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IFERROR(__xludf.DUMMYFUNCTION("IMPORTRANGE(""https://docs.google.com/spreadsheets/d/1C3CXT74ZlgGe6_JY_1olB1XN4rF0dxEuIIF-xsYjHgg/edit?usp=sharing"",""พรบ!AS62"")"),40)</f>
        <v>40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IFERROR(__xludf.DUMMYFUNCTION("IMPORTRANGE(""https://docs.google.com/spreadsheets/d/1C3CXT74ZlgGe6_JY_1olB1XN4rF0dxEuIIF-xsYjHgg/edit?usp=sharing"",""กปร!H62"")"),41200)</f>
        <v>41200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IFERROR(__xludf.DUMMYFUNCTION("IMPORTRANGE(""https://docs.google.com/spreadsheets/d/1C3CXT74ZlgGe6_JY_1olB1XN4rF0dxEuIIF-xsYjHgg/edit?usp=sharing"",""พรบ!AT62"")"),40)</f>
        <v>40</v>
      </c>
      <c r="J140" s="67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IFERROR(__xludf.DUMMYFUNCTION("IMPORTRANGE(""https://docs.google.com/spreadsheets/d/1C3CXT74ZlgGe6_JY_1olB1XN4rF0dxEuIIF-xsYjHgg/edit?usp=sharing"",""กปร!I62"")"),40000)</f>
        <v>40000</v>
      </c>
      <c r="M140" s="361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IFERROR(__xludf.DUMMYFUNCTION("IMPORTRANGE(""https://docs.google.com/spreadsheets/d/1C3CXT74ZlgGe6_JY_1olB1XN4rF0dxEuIIF-xsYjHgg/edit?usp=sharing"",""พรบ!AU62"")"),0)</f>
        <v>0</v>
      </c>
      <c r="J141" s="66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IFERROR(__xludf.DUMMYFUNCTION("IMPORTRANGE(""https://docs.google.com/spreadsheets/d/1C3CXT74ZlgGe6_JY_1olB1XN4rF0dxEuIIF-xsYjHgg/edit?usp=sharing"",""กปร!J62"")"),0)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0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IFERROR(__xludf.DUMMYFUNCTION("IMPORTRANGE(""https://docs.google.com/spreadsheets/d/1C3CXT74ZlgGe6_JY_1olB1XN4rF0dxEuIIF-xsYjHgg/edit?usp=sharing"",""พรบ!AY62"")"),0)</f>
        <v>0</v>
      </c>
      <c r="M148" s="52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0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6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6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6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6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IFERROR(__xludf.DUMMYFUNCTION("IMPORTRANGE(""https://docs.google.com/spreadsheets/d/1C3CXT74ZlgGe6_JY_1olB1XN4rF0dxEuIIF-xsYjHgg/edit?usp=sharing"",""พรบ!BA62"")"),0)</f>
        <v>0</v>
      </c>
      <c r="J155" s="66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6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356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IFERROR(__xludf.DUMMYFUNCTION("IMPORTRANGE(""https://docs.google.com/spreadsheets/d/1C3CXT74ZlgGe6_JY_1olB1XN4rF0dxEuIIF-xsYjHgg/edit?usp=sharing"",""พรบ!BD62"")"),0)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IFERROR(__xludf.DUMMYFUNCTION("IMPORTRANGE(""https://docs.google.com/spreadsheets/d/1C3CXT74ZlgGe6_JY_1olB1XN4rF0dxEuIIF-xsYjHgg/edit?usp=sharing"",""พรบ!BE62"")"),0)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IFERROR(__xludf.DUMMYFUNCTION("IMPORTRANGE(""https://docs.google.com/spreadsheets/d/1C3CXT74ZlgGe6_JY_1olB1XN4rF0dxEuIIF-xsYjHgg/edit?usp=sharing"",""พรบ!BF62"")"),0)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IFERROR(__xludf.DUMMYFUNCTION("IMPORTRANGE(""https://docs.google.com/spreadsheets/d/1C3CXT74ZlgGe6_JY_1olB1XN4rF0dxEuIIF-xsYjHgg/edit?usp=sharing"",""พรบ!BG62"")"),0)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IFERROR(__xludf.DUMMYFUNCTION("IMPORTRANGE(""https://docs.google.com/spreadsheets/d/1C3CXT74ZlgGe6_JY_1olB1XN4rF0dxEuIIF-xsYjHgg/edit?usp=sharing"",""พรบ!BH62"")"),0)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IFERROR(__xludf.DUMMYFUNCTION("IMPORTRANGE(""https://docs.google.com/spreadsheets/d/1C3CXT74ZlgGe6_JY_1olB1XN4rF0dxEuIIF-xsYjHgg/edit?usp=sharing"",""พรบ!BI62"")"),0)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IFERROR(__xludf.DUMMYFUNCTION("IMPORTRANGE(""https://docs.google.com/spreadsheets/d/1C3CXT74ZlgGe6_JY_1olB1XN4rF0dxEuIIF-xsYjHgg/edit?usp=sharing"",""พรบ!BK62"")"),0)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IFERROR(__xludf.DUMMYFUNCTION("IMPORTRANGE(""https://docs.google.com/spreadsheets/d/1C3CXT74ZlgGe6_JY_1olB1XN4rF0dxEuIIF-xsYjHgg/edit?usp=sharing"",""พรบ!BL62"")"),55200)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IFERROR(__xludf.DUMMYFUNCTION("IMPORTRANGE(""https://docs.google.com/spreadsheets/d/1C3CXT74ZlgGe6_JY_1olB1XN4rF0dxEuIIF-xsYjHgg/edit?usp=sharing"",""พรบ!BM62"")"),15)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30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96320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96320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47"/>
      <c r="K203" s="48"/>
      <c r="L203" s="52">
        <f ca="1">IFERROR(__xludf.DUMMYFUNCTION("IMPORTRANGE(""https://docs.google.com/spreadsheets/d/1C3CXT74ZlgGe6_JY_1olB1XN4rF0dxEuIIF-xsYjHgg/edit?usp=sharing"",""พรบ!BP62"")"),96320)</f>
        <v>96320</v>
      </c>
      <c r="M203" s="53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47"/>
      <c r="K204" s="48"/>
      <c r="L204" s="60"/>
      <c r="M204" s="60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7">
        <v>1</v>
      </c>
      <c r="K205" s="48"/>
      <c r="L205" s="60"/>
      <c r="M205" s="60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7">
        <v>0</v>
      </c>
      <c r="K206" s="48"/>
      <c r="L206" s="60" t="s">
        <v>21</v>
      </c>
      <c r="M206" s="60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7">
        <v>0</v>
      </c>
      <c r="K207" s="48"/>
      <c r="L207" s="60"/>
      <c r="M207" s="60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7">
        <v>0</v>
      </c>
      <c r="K208" s="48"/>
      <c r="L208" s="60"/>
      <c r="M208" s="60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IFERROR(__xludf.DUMMYFUNCTION("IMPORTRANGE(""https://docs.google.com/spreadsheets/d/1C3CXT74ZlgGe6_JY_1olB1XN4rF0dxEuIIF-xsYjHgg/edit?usp=sharing"",""พรบ!BQ62"")"),30)</f>
        <v>30</v>
      </c>
      <c r="J209" s="67">
        <v>0</v>
      </c>
      <c r="K209" s="48">
        <f ca="1">IF(I209&gt;0,J209*100/I209,0)</f>
        <v>0</v>
      </c>
      <c r="L209" s="60"/>
      <c r="M209" s="60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48"/>
      <c r="L210" s="60"/>
      <c r="M210" s="60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IFERROR(__xludf.DUMMYFUNCTION("IMPORTRANGE(""https://docs.google.com/spreadsheets/d/1C3CXT74ZlgGe6_JY_1olB1XN4rF0dxEuIIF-xsYjHgg/edit?usp=sharing"",""พรบ!BR62"")"),30)</f>
        <v>30</v>
      </c>
      <c r="J211" s="67">
        <v>0</v>
      </c>
      <c r="K211" s="48">
        <f ca="1">IF(I211&gt;0,J211*100/I211,0)</f>
        <v>0</v>
      </c>
      <c r="L211" s="60"/>
      <c r="M211" s="60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7">
        <v>0</v>
      </c>
      <c r="K212" s="48"/>
      <c r="L212" s="60"/>
      <c r="M212" s="60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187">
        <v>0</v>
      </c>
      <c r="K213" s="48"/>
      <c r="L213" s="60"/>
      <c r="M213" s="60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2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359600</v>
      </c>
      <c r="M214" s="196">
        <f>SUM(M215:M216)</f>
        <v>29240</v>
      </c>
      <c r="N214" s="195">
        <f ca="1">IF(L214&gt;0,M214*100/L214,0)</f>
        <v>8.1312569521690765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359600</v>
      </c>
      <c r="M216" s="52">
        <f t="shared" si="49"/>
        <v>29240</v>
      </c>
      <c r="N216" s="52">
        <f t="shared" ca="1" si="48"/>
        <v>8.1312569521690765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47"/>
      <c r="K218" s="48"/>
      <c r="L218" s="52">
        <f ca="1">IFERROR(__xludf.DUMMYFUNCTION("IMPORTRANGE(""https://docs.google.com/spreadsheets/d/1C3CXT74ZlgGe6_JY_1olB1XN4rF0dxEuIIF-xsYjHgg/edit?usp=sharing"",""พรบ!BU62"")"),359600)</f>
        <v>359600</v>
      </c>
      <c r="M218" s="53">
        <v>29240</v>
      </c>
      <c r="N218" s="52">
        <f t="shared" ca="1" si="48"/>
        <v>8.1312569521690765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47"/>
      <c r="K219" s="48"/>
      <c r="L219" s="60"/>
      <c r="M219" s="60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7">
        <v>1</v>
      </c>
      <c r="K220" s="48"/>
      <c r="L220" s="60"/>
      <c r="M220" s="60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7">
        <v>0</v>
      </c>
      <c r="K221" s="48"/>
      <c r="L221" s="60" t="s">
        <v>21</v>
      </c>
      <c r="M221" s="60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7">
        <v>0</v>
      </c>
      <c r="K222" s="48"/>
      <c r="L222" s="60"/>
      <c r="M222" s="60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7">
        <v>0</v>
      </c>
      <c r="K223" s="48"/>
      <c r="L223" s="60"/>
      <c r="M223" s="60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IFERROR(__xludf.DUMMYFUNCTION("IMPORTRANGE(""https://docs.google.com/spreadsheets/d/1C3CXT74ZlgGe6_JY_1olB1XN4rF0dxEuIIF-xsYjHgg/edit?usp=sharing"",""พรบ!BV62"")"),2)</f>
        <v>2</v>
      </c>
      <c r="J224" s="67">
        <v>0</v>
      </c>
      <c r="K224" s="48">
        <f ca="1">IF(I224&gt;0,J224*100/I224,0)</f>
        <v>0</v>
      </c>
      <c r="L224" s="60"/>
      <c r="M224" s="60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7">
        <v>0</v>
      </c>
      <c r="K225" s="48"/>
      <c r="L225" s="60"/>
      <c r="M225" s="60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84">
        <v>0</v>
      </c>
      <c r="K226" s="48"/>
      <c r="L226" s="60"/>
      <c r="M226" s="60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190</v>
      </c>
      <c r="J228" s="197">
        <f ca="1">J240</f>
        <v>68</v>
      </c>
      <c r="K228" s="178">
        <f ca="1">IF(I228&gt;0,J228*100/I228,0)</f>
        <v>35.789473684210527</v>
      </c>
      <c r="L228" s="179">
        <f ca="1">L229+L230</f>
        <v>893200</v>
      </c>
      <c r="M228" s="179">
        <f>SUM(M229:M230)</f>
        <v>124343.48000000001</v>
      </c>
      <c r="N228" s="178">
        <f ca="1">IF(L228&gt;0,M228*100/L228,0)</f>
        <v>13.92112404836543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893200</v>
      </c>
      <c r="M230" s="52">
        <f t="shared" si="51"/>
        <v>124343.48000000001</v>
      </c>
      <c r="N230" s="52">
        <f t="shared" ca="1" si="50"/>
        <v>13.92112404836543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IFERROR(__xludf.DUMMYFUNCTION("IMPORTRANGE(""https://docs.google.com/spreadsheets/d/1C3CXT74ZlgGe6_JY_1olB1XN4rF0dxEuIIF-xsYjHgg/edit?usp=sharing"",""พรบ!BX62"")"),470000)</f>
        <v>470000</v>
      </c>
      <c r="M231" s="53">
        <v>65363.48</v>
      </c>
      <c r="N231" s="52">
        <f t="shared" ca="1" si="50"/>
        <v>13.907123404255319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IFERROR(__xludf.DUMMYFUNCTION("IMPORTRANGE(""https://docs.google.com/spreadsheets/d/1C3CXT74ZlgGe6_JY_1olB1XN4rF0dxEuIIF-xsYjHgg/edit?usp=sharing"",""พรบ!BY62"")"),423200)</f>
        <v>423200</v>
      </c>
      <c r="M232" s="53">
        <v>58980</v>
      </c>
      <c r="N232" s="52">
        <f t="shared" ca="1" si="50"/>
        <v>13.936672967863894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IFERROR(__xludf.DUMMYFUNCTION("IMPORTRANGE(""https://docs.google.com/spreadsheets/d/1AGHcLOeeYFL3K4b9R1dSzyJy00PE_ra89DNTVfnxSWM/edit?usp=sharing"",""รวมที่ทำกิน!J51"")"),92)</f>
        <v>92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IFERROR(__xludf.DUMMYFUNCTION("IMPORTRANGE(""https://docs.google.com/spreadsheets/d/1C3CXT74ZlgGe6_JY_1olB1XN4rF0dxEuIIF-xsYjHgg/edit?usp=sharing"",""พรบ!BZ62"")"),2700)</f>
        <v>2700</v>
      </c>
      <c r="J235" s="66">
        <f ca="1">IFERROR(__xludf.DUMMYFUNCTION("IMPORTRANGE(""https://docs.google.com/spreadsheets/d/1AGHcLOeeYFL3K4b9R1dSzyJy00PE_ra89DNTVfnxSWM/edit?usp=sharing"",""รวมที่ทำกิน!L51"")"),899.38)</f>
        <v>899.38</v>
      </c>
      <c r="K235" s="200">
        <f t="shared" ca="1" si="52"/>
        <v>33.310370370370372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IFERROR(__xludf.DUMMYFUNCTION("IMPORTRANGE(""https://docs.google.com/spreadsheets/d/1C3CXT74ZlgGe6_JY_1olB1XN4rF0dxEuIIF-xsYjHgg/edit?usp=sharing"",""พรบ!CA62"")"),190)</f>
        <v>190</v>
      </c>
      <c r="J236" s="66">
        <f ca="1">IFERROR(__xludf.DUMMYFUNCTION("IMPORTRANGE(""https://docs.google.com/spreadsheets/d/1AGHcLOeeYFL3K4b9R1dSzyJy00PE_ra89DNTVfnxSWM/edit?usp=sharing"",""รวมที่ทำกิน!O51"")"),66)</f>
        <v>66</v>
      </c>
      <c r="K236" s="200">
        <f t="shared" ca="1" si="52"/>
        <v>34.736842105263158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IFERROR(__xludf.DUMMYFUNCTION("IMPORTRANGE(""https://docs.google.com/spreadsheets/d/1AGHcLOeeYFL3K4b9R1dSzyJy00PE_ra89DNTVfnxSWM/edit?usp=sharing"",""รวมที่ทำกิน!Q51"")"),634.689999999999)</f>
        <v>634.68999999999903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IFERROR(__xludf.DUMMYFUNCTION("IMPORTRANGE(""https://docs.google.com/spreadsheets/d/1C3CXT74ZlgGe6_JY_1olB1XN4rF0dxEuIIF-xsYjHgg/edit?usp=sharing"",""พรบ!CB62"")"),190)</f>
        <v>190</v>
      </c>
      <c r="J238" s="66">
        <f ca="1">IFERROR(__xludf.DUMMYFUNCTION("IMPORTRANGE(""https://docs.google.com/spreadsheets/d/1AGHcLOeeYFL3K4b9R1dSzyJy00PE_ra89DNTVfnxSWM/edit?usp=sharing"",""รวมที่ทำกิน!S51"")"),0)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IFERROR(__xludf.DUMMYFUNCTION("IMPORTRANGE(""https://docs.google.com/spreadsheets/d/1AGHcLOeeYFL3K4b9R1dSzyJy00PE_ra89DNTVfnxSWM/edit?usp=sharing"",""รวมที่ทำกิน!U51"")"),0)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IFERROR(__xludf.DUMMYFUNCTION("IMPORTRANGE(""https://docs.google.com/spreadsheets/d/1C3CXT74ZlgGe6_JY_1olB1XN4rF0dxEuIIF-xsYjHgg/edit?usp=sharing"",""พรบ!CC62"")"),190)</f>
        <v>190</v>
      </c>
      <c r="J240" s="66">
        <f ca="1">IFERROR(__xludf.DUMMYFUNCTION("IMPORTRANGE(""https://docs.google.com/spreadsheets/d/1AGHcLOeeYFL3K4b9R1dSzyJy00PE_ra89DNTVfnxSWM/edit?usp=sharing"",""รวมที่ทำกิน!W51"")"),68)</f>
        <v>68</v>
      </c>
      <c r="K240" s="200">
        <f t="shared" ca="1" si="52"/>
        <v>35.789473684210527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IFERROR(__xludf.DUMMYFUNCTION("IMPORTRANGE(""https://docs.google.com/spreadsheets/d/1AGHcLOeeYFL3K4b9R1dSzyJy00PE_ra89DNTVfnxSWM/edit?usp=sharing"",""รวมที่ทำกิน!Y51"")"),629.73)</f>
        <v>629.73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1601534</v>
      </c>
      <c r="M242" s="213">
        <f t="shared" si="53"/>
        <v>14773</v>
      </c>
      <c r="N242" s="213">
        <f ca="1">+IF(L242&gt;0,M242*100/L242,0)</f>
        <v>0.92242812203799607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20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221120</v>
      </c>
      <c r="M244" s="228">
        <f t="shared" si="56"/>
        <v>11113</v>
      </c>
      <c r="N244" s="228">
        <f ca="1">+IF(L244&gt;0,M244*100/L244,0)</f>
        <v>5.0257778581765553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20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221120</v>
      </c>
      <c r="M247" s="49">
        <f t="shared" si="58"/>
        <v>11113</v>
      </c>
      <c r="N247" s="49">
        <f t="shared" ca="1" si="57"/>
        <v>5.0257778581765553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IFERROR(__xludf.DUMMYFUNCTION("IMPORTRANGE(""https://docs.google.com/spreadsheets/d/1C3CXT74ZlgGe6_JY_1olB1XN4rF0dxEuIIF-xsYjHgg/edit?usp=sharing"",""งบกองทุน!d62"")"),0)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IFERROR(__xludf.DUMMYFUNCTION("IMPORTRANGE(""https://docs.google.com/spreadsheets/d/1C3CXT74ZlgGe6_JY_1olB1XN4rF0dxEuIIF-xsYjHgg/edit?usp=sharing"",""งบกองทุน!e62"")"),221120)</f>
        <v>221120</v>
      </c>
      <c r="M249" s="52">
        <f>SUM(M250:M253)</f>
        <v>11113</v>
      </c>
      <c r="N249" s="52">
        <f t="shared" ca="1" si="57"/>
        <v>5.0257778581765553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10633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480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1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0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IFERROR(__xludf.DUMMYFUNCTION("IMPORTRANGE(""https://docs.google.com/spreadsheets/d/1C3CXT74ZlgGe6_JY_1olB1XN4rF0dxEuIIF-xsYjHgg/edit?usp=sharing"",""งบกองทุน!f62"")"),0)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20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IFERROR(__xludf.DUMMYFUNCTION("IMPORTRANGE(""https://docs.google.com/spreadsheets/d/1C3CXT74ZlgGe6_JY_1olB1XN4rF0dxEuIIF-xsYjHgg/edit?usp=sharing"",""งบกองทุน!H62"")"),20)</f>
        <v>20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IFERROR(__xludf.DUMMYFUNCTION("IMPORTRANGE(""https://docs.google.com/spreadsheets/d/1C3CXT74ZlgGe6_JY_1olB1XN4rF0dxEuIIF-xsYjHgg/edit?usp=sharing"",""งบกองทุน!i62"")"),20)</f>
        <v>20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20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IFERROR(__xludf.DUMMYFUNCTION("IMPORTRANGE(""https://docs.google.com/spreadsheets/d/1C3CXT74ZlgGe6_JY_1olB1XN4rF0dxEuIIF-xsYjHgg/edit?usp=sharing"",""งบกองทุน!k62"")"),0)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20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IFERROR(__xludf.DUMMYFUNCTION("IMPORTRANGE(""https://docs.google.com/spreadsheets/d/1C3CXT74ZlgGe6_JY_1olB1XN4rF0dxEuIIF-xsYjHgg/edit?usp=sharing"",""งบกองทุน!m62"")"),0)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20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IFERROR(__xludf.DUMMYFUNCTION("IMPORTRANGE(""https://docs.google.com/spreadsheets/d/1C3CXT74ZlgGe6_JY_1olB1XN4rF0dxEuIIF-xsYjHgg/edit?usp=sharing"",""งบกองทุน!o62"")"),0)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IFERROR(__xludf.DUMMYFUNCTION("IMPORTRANGE(""https://docs.google.com/spreadsheets/d/1C3CXT74ZlgGe6_JY_1olB1XN4rF0dxEuIIF-xsYjHgg/edit?usp=sharing"",""งบกองทุน!p62"")"),20)</f>
        <v>20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500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460140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50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460140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IFERROR(__xludf.DUMMYFUNCTION("IMPORTRANGE(""https://docs.google.com/spreadsheets/d/1C3CXT74ZlgGe6_JY_1olB1XN4rF0dxEuIIF-xsYjHgg/edit?usp=sharing"",""งบกองทุน!r62"")"),0)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IFERROR(__xludf.DUMMYFUNCTION("IMPORTRANGE(""https://docs.google.com/spreadsheets/d/1C3CXT74ZlgGe6_JY_1olB1XN4rF0dxEuIIF-xsYjHgg/edit?usp=sharing"",""งบกองทุน!s62"")"),460140)</f>
        <v>460140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IFERROR(__xludf.DUMMYFUNCTION("IMPORTRANGE(""https://docs.google.com/spreadsheets/d/1C3CXT74ZlgGe6_JY_1olB1XN4rF0dxEuIIF-xsYjHgg/edit?usp=sharing"",""งบกองทุน!v62"")"),50)</f>
        <v>50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IFERROR(__xludf.DUMMYFUNCTION("IMPORTRANGE(""https://docs.google.com/spreadsheets/d/1C3CXT74ZlgGe6_JY_1olB1XN4rF0dxEuIIF-xsYjHgg/edit?usp=sharing"",""งบกองทุน!w62"")"),500)</f>
        <v>500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IFERROR(__xludf.DUMMYFUNCTION("IMPORTRANGE(""https://docs.google.com/spreadsheets/d/1C3CXT74ZlgGe6_JY_1olB1XN4rF0dxEuIIF-xsYjHgg/edit?usp=sharing"",""งบกองทุน!x62"")"),50)</f>
        <v>50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90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101920</v>
      </c>
      <c r="M296" s="228">
        <f t="shared" si="69"/>
        <v>3060</v>
      </c>
      <c r="N296" s="228">
        <f ca="1">+IF(L296&gt;0,M296*100/L296,0)</f>
        <v>3.002354788069074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30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101920</v>
      </c>
      <c r="M299" s="52">
        <f t="shared" si="71"/>
        <v>3060</v>
      </c>
      <c r="N299" s="52">
        <f t="shared" ca="1" si="70"/>
        <v>3.002354788069074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IFERROR(__xludf.DUMMYFUNCTION("IMPORTRANGE(""https://docs.google.com/spreadsheets/d/1C3CXT74ZlgGe6_JY_1olB1XN4rF0dxEuIIF-xsYjHgg/edit?usp=sharing"",""งบกองทุน!z62"")"),0)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IFERROR(__xludf.DUMMYFUNCTION("IMPORTRANGE(""https://docs.google.com/spreadsheets/d/1C3CXT74ZlgGe6_JY_1olB1XN4rF0dxEuIIF-xsYjHgg/edit?usp=sharing"",""งบกองทุน!aa62"")"),101920)</f>
        <v>101920</v>
      </c>
      <c r="M301" s="52">
        <f>SUM(M302:M305)</f>
        <v>3060</v>
      </c>
      <c r="N301" s="52">
        <f t="shared" ca="1" si="70"/>
        <v>3.002354788069074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3060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1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30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IFERROR(__xludf.DUMMYFUNCTION("IMPORTRANGE(""https://docs.google.com/spreadsheets/d/1C3CXT74ZlgGe6_JY_1olB1XN4rF0dxEuIIF-xsYjHgg/edit?usp=sharing"",""งบกองทุน!ae62"")"),0)</f>
        <v>0</v>
      </c>
      <c r="J312" s="364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IFERROR(__xludf.DUMMYFUNCTION("IMPORTRANGE(""https://docs.google.com/spreadsheets/d/1C3CXT74ZlgGe6_JY_1olB1XN4rF0dxEuIIF-xsYjHgg/edit?usp=sharing"",""งบกองทุน!ad62"")"),0)</f>
        <v>0</v>
      </c>
      <c r="J313" s="364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IFERROR(__xludf.DUMMYFUNCTION("IMPORTRANGE(""https://docs.google.com/spreadsheets/d/1C3CXT74ZlgGe6_JY_1olB1XN4rF0dxEuIIF-xsYjHgg/edit?usp=sharing"",""งบกองทุน!af62"")"),0)</f>
        <v>0</v>
      </c>
      <c r="J314" s="365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IFERROR(__xludf.DUMMYFUNCTION("IMPORTRANGE(""https://docs.google.com/spreadsheets/d/1C3CXT74ZlgGe6_JY_1olB1XN4rF0dxEuIIF-xsYjHgg/edit?usp=sharing"",""งบกองทุน!ag62"")"),0)</f>
        <v>0</v>
      </c>
      <c r="J315" s="365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IFERROR(__xludf.DUMMYFUNCTION("IMPORTRANGE(""https://docs.google.com/spreadsheets/d/1C3CXT74ZlgGe6_JY_1olB1XN4rF0dxEuIIF-xsYjHgg/edit?usp=sharing"",""งบกองทุน!ai62"")"),20)</f>
        <v>20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IFERROR(__xludf.DUMMYFUNCTION("IMPORTRANGE(""https://docs.google.com/spreadsheets/d/1C3CXT74ZlgGe6_JY_1olB1XN4rF0dxEuIIF-xsYjHgg/edit?usp=sharing"",""งบกองทุน!ah62"")"),60)</f>
        <v>60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IFERROR(__xludf.DUMMYFUNCTION("IMPORTRANGE(""https://docs.google.com/spreadsheets/d/1C3CXT74ZlgGe6_JY_1olB1XN4rF0dxEuIIF-xsYjHgg/edit?usp=sharing"",""งบกองทุน!aj62"")"),20)</f>
        <v>20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IFERROR(__xludf.DUMMYFUNCTION("IMPORTRANGE(""https://docs.google.com/spreadsheets/d/1C3CXT74ZlgGe6_JY_1olB1XN4rF0dxEuIIF-xsYjHgg/edit?usp=sharing"",""งบกองทุน!ak62"")"),20)</f>
        <v>20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IFERROR(__xludf.DUMMYFUNCTION("IMPORTRANGE(""https://docs.google.com/spreadsheets/d/1C3CXT74ZlgGe6_JY_1olB1XN4rF0dxEuIIF-xsYjHgg/edit?usp=sharing"",""งบกองทุน!al62"")"),20)</f>
        <v>20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IFERROR(__xludf.DUMMYFUNCTION("IMPORTRANGE(""https://docs.google.com/spreadsheets/d/1C3CXT74ZlgGe6_JY_1olB1XN4rF0dxEuIIF-xsYjHgg/edit?usp=sharing"",""งบกองทุน!an62"")"),10)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IFERROR(__xludf.DUMMYFUNCTION("IMPORTRANGE(""https://docs.google.com/spreadsheets/d/1C3CXT74ZlgGe6_JY_1olB1XN4rF0dxEuIIF-xsYjHgg/edit?usp=sharing"",""งบกองทุน!am62"")"),30)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IFERROR(__xludf.DUMMYFUNCTION("IMPORTRANGE(""https://docs.google.com/spreadsheets/d/1C3CXT74ZlgGe6_JY_1olB1XN4rF0dxEuIIF-xsYjHgg/edit?usp=sharing"",""งบกองทุน!ao62"")"),10)</f>
        <v>10</v>
      </c>
      <c r="J323" s="368"/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IFERROR(__xludf.DUMMYFUNCTION("IMPORTRANGE(""https://docs.google.com/spreadsheets/d/1C3CXT74ZlgGe6_JY_1olB1XN4rF0dxEuIIF-xsYjHgg/edit?usp=sharing"",""งบกองทุน!ap62"")"),10)</f>
        <v>10</v>
      </c>
      <c r="J324" s="368">
        <v>10</v>
      </c>
      <c r="K324" s="48">
        <f t="shared" ca="1" si="73"/>
        <v>100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20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IFERROR(__xludf.DUMMYFUNCTION("IMPORTRANGE(""https://docs.google.com/spreadsheets/d/1C3CXT74ZlgGe6_JY_1olB1XN4rF0dxEuIIF-xsYjHgg/edit?usp=sharing"",""งบกองทุน!ar62"")"),0)</f>
        <v>0</v>
      </c>
      <c r="J326" s="365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IFERROR(__xludf.DUMMYFUNCTION("IMPORTRANGE(""https://docs.google.com/spreadsheets/d/1C3CXT74ZlgGe6_JY_1olB1XN4rF0dxEuIIF-xsYjHgg/edit?usp=sharing"",""งบกองทุน!as62"")"),20)</f>
        <v>20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83000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IFERROR(__xludf.DUMMYFUNCTION("IMPORTRANGE(""https://docs.google.com/spreadsheets/d/1C3CXT74ZlgGe6_JY_1olB1XN4rF0dxEuIIF-xsYjHgg/edit?usp=sharing"",""งบกองทุน!au62"")"),0)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IFERROR(__xludf.DUMMYFUNCTION("IMPORTRANGE(""https://docs.google.com/spreadsheets/d/1C3CXT74ZlgGe6_JY_1olB1XN4rF0dxEuIIF-xsYjHgg/edit?usp=sharing"",""งบกองทุน!av62"")"),83000)</f>
        <v>83000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0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15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IFERROR(__xludf.DUMMYFUNCTION("IMPORTRANGE(""https://docs.google.com/spreadsheets/d/1C3CXT74ZlgGe6_JY_1olB1XN4rF0dxEuIIF-xsYjHgg/edit?usp=sharing"",""งบกองทุน!ay62"")"),15)</f>
        <v>15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IFERROR(__xludf.DUMMYFUNCTION("IMPORTRANGE(""https://docs.google.com/spreadsheets/d/1C3CXT74ZlgGe6_JY_1olB1XN4rF0dxEuIIF-xsYjHgg/edit?usp=sharing"",""งบกองทุน!az62"")"),0)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IFERROR(__xludf.DUMMYFUNCTION("IMPORTRANGE(""https://docs.google.com/spreadsheets/d/1C3CXT74ZlgGe6_JY_1olB1XN4rF0dxEuIIF-xsYjHgg/edit?usp=sharing"",""งบกองทุน!Ba62"")"),0)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69028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577044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577044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IFERROR(__xludf.DUMMYFUNCTION("IMPORTRANGE(""https://docs.google.com/spreadsheets/d/1C3CXT74ZlgGe6_JY_1olB1XN4rF0dxEuIIF-xsYjHgg/edit?usp=sharing"",""งบกองทุน!Bc62"")"),0)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IFERROR(__xludf.DUMMYFUNCTION("IMPORTRANGE(""https://docs.google.com/spreadsheets/d/1C3CXT74ZlgGe6_JY_1olB1XN4rF0dxEuIIF-xsYjHgg/edit?usp=sharing"",""งบกองทุน!Bd62"")"),577044)</f>
        <v>577044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IFERROR(__xludf.DUMMYFUNCTION("IMPORTRANGE(""https://docs.google.com/spreadsheets/d/1C3CXT74ZlgGe6_JY_1olB1XN4rF0dxEuIIF-xsYjHgg/edit?usp=sharing"",""งบกองทุน!BE62"")"),69028)</f>
        <v>69028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IFERROR(__xludf.DUMMYFUNCTION("IMPORTRANGE(""https://docs.google.com/spreadsheets/d/1C3CXT74ZlgGe6_JY_1olB1XN4rF0dxEuIIF-xsYjHgg/edit?usp=sharing"",""งบกองทุน!BE62"")"),69028)</f>
        <v>69028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IFERROR(__xludf.DUMMYFUNCTION("IMPORTRANGE(""https://docs.google.com/spreadsheets/d/1C3CXT74ZlgGe6_JY_1olB1XN4rF0dxEuIIF-xsYjHgg/edit?usp=sharing"",""งบกองทุน!Bf62"")"),5288)</f>
        <v>5288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69028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5288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69028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5288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IFERROR(__xludf.DUMMYFUNCTION("IMPORTRANGE(""https://docs.google.com/spreadsheets/d/1C3CXT74ZlgGe6_JY_1olB1XN4rF0dxEuIIF-xsYjHgg/edit?usp=sharing"",""งบกองทุน!cd62"")"),3158)</f>
        <v>3158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IFERROR(__xludf.DUMMYFUNCTION("IMPORTRANGE(""https://docs.google.com/spreadsheets/d/1C3CXT74ZlgGe6_JY_1olB1XN4rF0dxEuIIF-xsYjHgg/edit?usp=sharing"",""งบกองทุน!cd62"")"),3158)</f>
        <v>3158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IFERROR(__xludf.DUMMYFUNCTION("IMPORTRANGE(""https://docs.google.com/spreadsheets/d/1C3CXT74ZlgGe6_JY_1olB1XN4rF0dxEuIIF-xsYjHgg/edit?usp=sharing"",""งบกองทุน!cc62"")"),178)</f>
        <v>178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IFERROR(__xludf.DUMMYFUNCTION("IMPORTRANGE(""https://docs.google.com/spreadsheets/d/1C3CXT74ZlgGe6_JY_1olB1XN4rF0dxEuIIF-xsYjHgg/edit?usp=sharing"",""งบกองทุน!cz62"")"),0)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IFERROR(__xludf.DUMMYFUNCTION("IMPORTRANGE(""https://docs.google.com/spreadsheets/d/1C3CXT74ZlgGe6_JY_1olB1XN4rF0dxEuIIF-xsYjHgg/edit?usp=sharing"",""งบกองทุน!cz62"")"),0)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IFERROR(__xludf.DUMMYFUNCTION("IMPORTRANGE(""https://docs.google.com/spreadsheets/d/1C3CXT74ZlgGe6_JY_1olB1XN4rF0dxEuIIF-xsYjHgg/edit?usp=sharing"",""งบกองทุน!cy62"")"),0)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IFERROR(__xludf.DUMMYFUNCTION("IMPORTRANGE(""https://docs.google.com/spreadsheets/d/1C3CXT74ZlgGe6_JY_1olB1XN4rF0dxEuIIF-xsYjHgg/edit?usp=sharing"",""งบกองทุน!db62"")"),0)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IFERROR(__xludf.DUMMYFUNCTION("IMPORTRANGE(""https://docs.google.com/spreadsheets/d/1C3CXT74ZlgGe6_JY_1olB1XN4rF0dxEuIIF-xsYjHgg/edit?usp=sharing"",""งบกองทุน!da62"")"),0)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IFERROR(__xludf.DUMMYFUNCTION("IMPORTRANGE(""https://docs.google.com/spreadsheets/d/1C3CXT74ZlgGe6_JY_1olB1XN4rF0dxEuIIF-xsYjHgg/edit?usp=sharing"",""งบกองทุน!dd62"")"),0)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IFERROR(__xludf.DUMMYFUNCTION("IMPORTRANGE(""https://docs.google.com/spreadsheets/d/1C3CXT74ZlgGe6_JY_1olB1XN4rF0dxEuIIF-xsYjHgg/edit?usp=sharing"",""งบกองทุน!dc62"")"),0)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IFERROR(__xludf.DUMMYFUNCTION("IMPORTRANGE(""https://docs.google.com/spreadsheets/d/1C3CXT74ZlgGe6_JY_1olB1XN4rF0dxEuIIF-xsYjHgg/edit?usp=sharing"",""งบกองทุน!df62"")"),0)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IFERROR(__xludf.DUMMYFUNCTION("IMPORTRANGE(""https://docs.google.com/spreadsheets/d/1C3CXT74ZlgGe6_JY_1olB1XN4rF0dxEuIIF-xsYjHgg/edit?usp=sharing"",""งบกองทุน!de62"")"),0)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20</v>
      </c>
      <c r="J426" s="257">
        <f t="shared" si="91"/>
        <v>0</v>
      </c>
      <c r="K426" s="258">
        <f ca="1">IF(I426&gt;0,J426*100/I426,0)</f>
        <v>0</v>
      </c>
      <c r="L426" s="259">
        <f t="shared" ref="L426:M426" ca="1" si="92">SUM(L427:L428)</f>
        <v>32640</v>
      </c>
      <c r="M426" s="259">
        <f t="shared" si="92"/>
        <v>300</v>
      </c>
      <c r="N426" s="259">
        <f t="shared" ref="N426:N430" ca="1" si="93">+IF(L426&gt;0,M426*100/L426,0)</f>
        <v>0.91911764705882348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32640</v>
      </c>
      <c r="M428" s="52">
        <f t="shared" si="94"/>
        <v>300</v>
      </c>
      <c r="N428" s="52">
        <f t="shared" ca="1" si="93"/>
        <v>0.91911764705882348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IFERROR(__xludf.DUMMYFUNCTION("IMPORTRANGE(""https://docs.google.com/spreadsheets/d/1C3CXT74ZlgGe6_JY_1olB1XN4rF0dxEuIIF-xsYjHgg/edit?usp=sharing"",""งบกองทุน!dn62"")"),0)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IFERROR(__xludf.DUMMYFUNCTION("IMPORTRANGE(""https://docs.google.com/spreadsheets/d/1C3CXT74ZlgGe6_JY_1olB1XN4rF0dxEuIIF-xsYjHgg/edit?usp=sharing"",""งบกองทุน!do62"")"),32640)</f>
        <v>32640</v>
      </c>
      <c r="M430" s="52">
        <f>SUM(M431:M434)</f>
        <v>300</v>
      </c>
      <c r="N430" s="52">
        <f t="shared" ca="1" si="93"/>
        <v>0.91911764705882348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300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IFERROR(__xludf.DUMMYFUNCTION("IMPORTRANGE(""https://docs.google.com/spreadsheets/d/1C3CXT74ZlgGe6_JY_1olB1XN4rF0dxEuIIF-xsYjHgg/edit?usp=sharing"",""งบกองทุน!dq62"")"),20)</f>
        <v>20</v>
      </c>
      <c r="J440" s="67">
        <v>0</v>
      </c>
      <c r="K440" s="48">
        <f t="shared" ref="K440:K441" ca="1" si="95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IFERROR(__xludf.DUMMYFUNCTION("IMPORTRANGE(""https://docs.google.com/spreadsheets/d/1C3CXT74ZlgGe6_JY_1olB1XN4rF0dxEuIIF-xsYjHgg/edit?usp=sharing"",""งบกองทุน!dr62"")"),20)</f>
        <v>20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IFERROR(__xludf.DUMMYFUNCTION("IMPORTRANGE(""https://docs.google.com/spreadsheets/d/1C3CXT74ZlgGe6_JY_1olB1XN4rF0dxEuIIF-xsYjHgg/edit?usp=sharing"",""งบกองทุน!dt62"")"),0)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IFERROR(__xludf.DUMMYFUNCTION("IMPORTRANGE(""https://docs.google.com/spreadsheets/d/1C3CXT74ZlgGe6_JY_1olB1XN4rF0dxEuIIF-xsYjHgg/edit?usp=sharing"",""งบกองทุน!du62"")"),0)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IFERROR(__xludf.DUMMYFUNCTION("IMPORTRANGE(""https://docs.google.com/spreadsheets/d/1C3CXT74ZlgGe6_JY_1olB1XN4rF0dxEuIIF-xsYjHgg/edit?usp=sharing"",""งบกองทุน!dw62"")"),0)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IFERROR(__xludf.DUMMYFUNCTION("IMPORTRANGE(""https://docs.google.com/spreadsheets/d/1C3CXT74ZlgGe6_JY_1olB1XN4rF0dxEuIIF-xsYjHgg/edit?usp=sharing"",""งบกองทุน!dx62"")"),0)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IFERROR(__xludf.DUMMYFUNCTION("IMPORTRANGE(""https://docs.google.com/spreadsheets/d/1C3CXT74ZlgGe6_JY_1olB1XN4rF0dxEuIIF-xsYjHgg/edit?usp=sharing"",""งบกองทุน!dy62"")"),0)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IFERROR(__xludf.DUMMYFUNCTION("IMPORTRANGE(""https://docs.google.com/spreadsheets/d/1C3CXT74ZlgGe6_JY_1olB1XN4rF0dxEuIIF-xsYjHgg/edit?usp=sharing"",""งบกองทุน!dz62"")"),0)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900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121120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121120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IFERROR(__xludf.DUMMYFUNCTION("IMPORTRANGE(""https://docs.google.com/spreadsheets/d/1C3CXT74ZlgGe6_JY_1olB1XN4rF0dxEuIIF-xsYjHgg/edit?usp=sharing"",""งบกองทุน!Eb62"")"),0)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IFERROR(__xludf.DUMMYFUNCTION("IMPORTRANGE(""https://docs.google.com/spreadsheets/d/1C3CXT74ZlgGe6_JY_1olB1XN4rF0dxEuIIF-xsYjHgg/edit?usp=sharing"",""งบกองทุน!Ec62"")"),121120)</f>
        <v>121120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IFERROR(__xludf.DUMMYFUNCTION("IMPORTRANGE(""https://docs.google.com/spreadsheets/d/1C3CXT74ZlgGe6_JY_1olB1XN4rF0dxEuIIF-xsYjHgg/edit?usp=sharing"",""งบกองทุน!Ed62"")"),900)</f>
        <v>900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IFERROR(__xludf.DUMMYFUNCTION("IMPORTRANGE(""https://docs.google.com/spreadsheets/d/1C3CXT74ZlgGe6_JY_1olB1XN4rF0dxEuIIF-xsYjHgg/edit?usp=sharing"",""งบกองทุน!Ek62"")"),0)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IFERROR(__xludf.DUMMYFUNCTION("IMPORTRANGE(""https://docs.google.com/spreadsheets/d/1C3CXT74ZlgGe6_JY_1olB1XN4rF0dxEuIIF-xsYjHgg/edit?usp=sharing"",""งบกองทุน!El62"")"),0)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IFERROR(__xludf.DUMMYFUNCTION("IMPORTRANGE(""https://docs.google.com/spreadsheets/d/1C3CXT74ZlgGe6_JY_1olB1XN4rF0dxEuIIF-xsYjHgg/edit?usp=sharing"",""งบกองทุน!Em62"")"),0)</f>
        <v>0</v>
      </c>
      <c r="J482" s="66">
        <f ca="1">IFERROR(__xludf.DUMMYFUNCTION("IMPORTRANGE(""https://docs.google.com/spreadsheets/d/1AGHcLOeeYFL3K4b9R1dSzyJy00PE_ra89DNTVfnxSWM/edit?usp=sharing"",""รวมที่ชุมชน!G51"")"),0)</f>
        <v>0</v>
      </c>
      <c r="K482" s="232">
        <f t="shared" ref="K482:K489" ca="1" si="107">IF(I482&gt;0,J482*100/I482,0)</f>
        <v>0</v>
      </c>
      <c r="L482" s="52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IFERROR(__xludf.DUMMYFUNCTION("IMPORTRANGE(""https://docs.google.com/spreadsheets/d/1C3CXT74ZlgGe6_JY_1olB1XN4rF0dxEuIIF-xsYjHgg/edit?usp=sharing"",""งบกองทุน!En62"")"),0)</f>
        <v>0</v>
      </c>
      <c r="J483" s="66">
        <f ca="1">IFERROR(__xludf.DUMMYFUNCTION("IMPORTRANGE(""https://docs.google.com/spreadsheets/d/1AGHcLOeeYFL3K4b9R1dSzyJy00PE_ra89DNTVfnxSWM/edit?usp=sharing"",""รวมที่ชุมชน!H51"")"),0)</f>
        <v>0</v>
      </c>
      <c r="K483" s="200">
        <f t="shared" ca="1" si="107"/>
        <v>0</v>
      </c>
      <c r="L483" s="52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IFERROR(__xludf.DUMMYFUNCTION("IMPORTRANGE(""https://docs.google.com/spreadsheets/d/1C3CXT74ZlgGe6_JY_1olB1XN4rF0dxEuIIF-xsYjHgg/edit?usp=sharing"",""งบกองทุน!Eo62"")"),0)</f>
        <v>0</v>
      </c>
      <c r="J484" s="66">
        <f ca="1">IFERROR(__xludf.DUMMYFUNCTION("IMPORTRANGE(""https://docs.google.com/spreadsheets/d/1AGHcLOeeYFL3K4b9R1dSzyJy00PE_ra89DNTVfnxSWM/edit?usp=sharing"",""รวมที่ชุมชน!J51"")"),0)</f>
        <v>0</v>
      </c>
      <c r="K484" s="232">
        <f t="shared" ca="1" si="107"/>
        <v>0</v>
      </c>
      <c r="L484" s="52"/>
      <c r="M484" s="52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IFERROR(__xludf.DUMMYFUNCTION("IMPORTRANGE(""https://docs.google.com/spreadsheets/d/1C3CXT74ZlgGe6_JY_1olB1XN4rF0dxEuIIF-xsYjHgg/edit?usp=sharing"",""งบกองทุน!Ep62"")"),0)</f>
        <v>0</v>
      </c>
      <c r="J485" s="66">
        <f ca="1">IFERROR(__xludf.DUMMYFUNCTION("IMPORTRANGE(""https://docs.google.com/spreadsheets/d/1AGHcLOeeYFL3K4b9R1dSzyJy00PE_ra89DNTVfnxSWM/edit?usp=sharing"",""รวมที่ชุมชน!L51"")"),0)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IFERROR(__xludf.DUMMYFUNCTION("IMPORTRANGE(""https://docs.google.com/spreadsheets/d/1C3CXT74ZlgGe6_JY_1olB1XN4rF0dxEuIIF-xsYjHgg/edit?usp=sharing"",""งบกองทุน!Eq62"")"),0)</f>
        <v>0</v>
      </c>
      <c r="J486" s="66">
        <f ca="1">IFERROR(__xludf.DUMMYFUNCTION("IMPORTRANGE(""https://docs.google.com/spreadsheets/d/1AGHcLOeeYFL3K4b9R1dSzyJy00PE_ra89DNTVfnxSWM/edit?usp=sharing"",""รวมที่ชุมชน!S51"")"),0)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IFERROR(__xludf.DUMMYFUNCTION("IMPORTRANGE(""https://docs.google.com/spreadsheets/d/1C3CXT74ZlgGe6_JY_1olB1XN4rF0dxEuIIF-xsYjHgg/edit?usp=sharing"",""งบกองทุน!Er62"")"),0)</f>
        <v>0</v>
      </c>
      <c r="J487" s="66">
        <f ca="1">IFERROR(__xludf.DUMMYFUNCTION("IMPORTRANGE(""https://docs.google.com/spreadsheets/d/1AGHcLOeeYFL3K4b9R1dSzyJy00PE_ra89DNTVfnxSWM/edit?usp=sharing"",""รวมที่ชุมชน!U51"")"),0)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IFERROR(__xludf.DUMMYFUNCTION("IMPORTRANGE(""https://docs.google.com/spreadsheets/d/1C3CXT74ZlgGe6_JY_1olB1XN4rF0dxEuIIF-xsYjHgg/edit?usp=sharing"",""งบกองทุน!Es62"")"),0)</f>
        <v>0</v>
      </c>
      <c r="J488" s="66">
        <f ca="1">IFERROR(__xludf.DUMMYFUNCTION("IMPORTRANGE(""https://docs.google.com/spreadsheets/d/1AGHcLOeeYFL3K4b9R1dSzyJy00PE_ra89DNTVfnxSWM/edit?usp=sharing"",""รวมที่ชุมชน!V51"")"),0)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IFERROR(__xludf.DUMMYFUNCTION("IMPORTRANGE(""https://docs.google.com/spreadsheets/d/1C3CXT74ZlgGe6_JY_1olB1XN4rF0dxEuIIF-xsYjHgg/edit?usp=sharing"",""งบกองทุน!Et62"")"),0)</f>
        <v>0</v>
      </c>
      <c r="J489" s="111">
        <f ca="1">IFERROR(__xludf.DUMMYFUNCTION("IMPORTRANGE(""https://docs.google.com/spreadsheets/d/1AGHcLOeeYFL3K4b9R1dSzyJy00PE_ra89DNTVfnxSWM/edit?usp=sharing"",""รวมที่ชุมชน!X51"")"),0)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300</v>
      </c>
      <c r="N490" s="259">
        <f t="shared" ref="N490:N494" ca="1" si="109">+IF(L490&gt;0,M490*100/L490,0)</f>
        <v>6.5934065934065931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300</v>
      </c>
      <c r="N492" s="52">
        <f t="shared" ca="1" si="109"/>
        <v>6.5934065934065931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IFERROR(__xludf.DUMMYFUNCTION("IMPORTRANGE(""https://docs.google.com/spreadsheets/d/1C3CXT74ZlgGe6_JY_1olB1XN4rF0dxEuIIF-xsYjHgg/edit?usp=sharing"",""งบกองทุน!Ev62"")"),0)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IFERROR(__xludf.DUMMYFUNCTION("IMPORTRANGE(""https://docs.google.com/spreadsheets/d/1C3CXT74ZlgGe6_JY_1olB1XN4rF0dxEuIIF-xsYjHgg/edit?usp=sharing"",""งบกองทุน!Ew62"")"),4550)</f>
        <v>4550</v>
      </c>
      <c r="M494" s="52">
        <f>SUM(M495:M498)</f>
        <v>300</v>
      </c>
      <c r="N494" s="52">
        <f t="shared" ca="1" si="109"/>
        <v>6.5934065934065931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300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1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IFERROR(__xludf.DUMMYFUNCTION("IMPORTRANGE(""https://docs.google.com/spreadsheets/d/1C3CXT74ZlgGe6_JY_1olB1XN4rF0dxEuIIF-xsYjHgg/edit?usp=sharing"",""งบกองทุน!EZ62"")"),50)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IFERROR(__xludf.DUMMYFUNCTION("IMPORTRANGE(""https://docs.google.com/spreadsheets/d/1C3CXT74ZlgGe6_JY_1olB1XN4rF0dxEuIIF-xsYjHgg/edit?usp=sharing"",""งบกองทุน!ff62"")"),0)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IFERROR(__xludf.DUMMYFUNCTION("IMPORTRANGE(""https://docs.google.com/spreadsheets/d/1muirlRDkqiswvy_NRZ3Yh955hx-PF6_HhssUYiSJj8o/edit?usp=sharing"",""กองทุน!D62"")"),9955669.64)</f>
        <v>9955669.6400000006</v>
      </c>
      <c r="J521" s="199">
        <f ca="1">IFERROR(__xludf.DUMMYFUNCTION("IMPORTRANGE(""https://docs.google.com/spreadsheets/d/1muirlRDkqiswvy_NRZ3Yh955hx-PF6_HhssUYiSJj8o/edit?usp=sharing"",""กองทุน!F62"")"),0)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IFERROR(__xludf.DUMMYFUNCTION("IMPORTRANGE(""https://docs.google.com/spreadsheets/d/1muirlRDkqiswvy_NRZ3Yh955hx-PF6_HhssUYiSJj8o/edit?usp=sharing"",""กองทุน!C62"")"),249)</f>
        <v>249</v>
      </c>
      <c r="J522" s="199">
        <f ca="1">IFERROR(__xludf.DUMMYFUNCTION("IMPORTRANGE(""https://docs.google.com/spreadsheets/d/1muirlRDkqiswvy_NRZ3Yh955hx-PF6_HhssUYiSJj8o/edit?usp=sharing"",""กองทุน!E62"")"),0)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IFERROR(__xludf.DUMMYFUNCTION("IMPORTRANGE(""https://docs.google.com/spreadsheets/d/1muirlRDkqiswvy_NRZ3Yh955hx-PF6_HhssUYiSJj8o/edit?usp=sharing"",""กองทุน!I62"")"),186084.82)</f>
        <v>186084.82</v>
      </c>
      <c r="J523" s="199">
        <f ca="1">IFERROR(__xludf.DUMMYFUNCTION("IMPORTRANGE(""https://docs.google.com/spreadsheets/d/1muirlRDkqiswvy_NRZ3Yh955hx-PF6_HhssUYiSJj8o/edit?usp=sharing"",""กองทุน!K62"")"),1879.56)</f>
        <v>1879.56</v>
      </c>
      <c r="K523" s="200">
        <f t="shared" ca="1" si="116"/>
        <v>1.0100555219926053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IFERROR(__xludf.DUMMYFUNCTION("IMPORTRANGE(""https://docs.google.com/spreadsheets/d/1muirlRDkqiswvy_NRZ3Yh955hx-PF6_HhssUYiSJj8o/edit?usp=sharing"",""กองทุน!H62"")"),7)</f>
        <v>7</v>
      </c>
      <c r="J524" s="199">
        <f ca="1">IFERROR(__xludf.DUMMYFUNCTION("IMPORTRANGE(""https://docs.google.com/spreadsheets/d/1muirlRDkqiswvy_NRZ3Yh955hx-PF6_HhssUYiSJj8o/edit?usp=sharing"",""กองทุน!J62"")"),1)</f>
        <v>1</v>
      </c>
      <c r="K524" s="200">
        <f t="shared" ca="1" si="116"/>
        <v>14.285714285714286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IFERROR(__xludf.DUMMYFUNCTION("IMPORTRANGE(""https://docs.google.com/spreadsheets/d/1muirlRDkqiswvy_NRZ3Yh955hx-PF6_HhssUYiSJj8o/edit?usp=sharing"",""กองทุน!N62"")"),0)</f>
        <v>0</v>
      </c>
      <c r="J525" s="199">
        <f ca="1">IFERROR(__xludf.DUMMYFUNCTION("IMPORTRANGE(""https://docs.google.com/spreadsheets/d/1muirlRDkqiswvy_NRZ3Yh955hx-PF6_HhssUYiSJj8o/edit?usp=sharing"",""กองทุน!P62"")"),0)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IFERROR(__xludf.DUMMYFUNCTION("IMPORTRANGE(""https://docs.google.com/spreadsheets/d/1muirlRDkqiswvy_NRZ3Yh955hx-PF6_HhssUYiSJj8o/edit?usp=sharing"",""กองทุน!M62"")"),0)</f>
        <v>0</v>
      </c>
      <c r="J526" s="199">
        <f ca="1">IFERROR(__xludf.DUMMYFUNCTION("IMPORTRANGE(""https://docs.google.com/spreadsheets/d/1muirlRDkqiswvy_NRZ3Yh955hx-PF6_HhssUYiSJj8o/edit?usp=sharing"",""กองทุน!O62"")"),0)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IFERROR(__xludf.DUMMYFUNCTION("IMPORTRANGE(""https://docs.google.com/spreadsheets/d/1muirlRDkqiswvy_NRZ3Yh955hx-PF6_HhssUYiSJj8o/edit?usp=sharing"",""กองทุน!S62"")"),5530000)</f>
        <v>5530000</v>
      </c>
      <c r="J527" s="199">
        <f ca="1">IFERROR(__xludf.DUMMYFUNCTION("IMPORTRANGE(""https://docs.google.com/spreadsheets/d/1muirlRDkqiswvy_NRZ3Yh955hx-PF6_HhssUYiSJj8o/edit?usp=sharing"",""กองทุน!U62"")"),0)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IFERROR(__xludf.DUMMYFUNCTION("IMPORTRANGE(""https://docs.google.com/spreadsheets/d/1muirlRDkqiswvy_NRZ3Yh955hx-PF6_HhssUYiSJj8o/edit?usp=sharing"",""กองทุน!R62"")"),115)</f>
        <v>115</v>
      </c>
      <c r="J528" s="324">
        <f ca="1">IFERROR(__xludf.DUMMYFUNCTION("IMPORTRANGE(""https://docs.google.com/spreadsheets/d/1muirlRDkqiswvy_NRZ3Yh955hx-PF6_HhssUYiSJj8o/edit?usp=sharing"",""กองทุน!T62"")"),0)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  <rowBreaks count="7" manualBreakCount="7">
    <brk id="128" man="1"/>
    <brk id="241" man="1"/>
    <brk id="65" man="1"/>
    <brk id="389" man="1"/>
    <brk id="184" man="1"/>
    <brk id="443" man="1"/>
    <brk id="3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226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1482825</v>
      </c>
      <c r="M6" s="16">
        <f t="shared" si="0"/>
        <v>158220</v>
      </c>
      <c r="N6" s="17">
        <f ca="1">IF(L6&gt;0,M6*100/L6,0)</f>
        <v>10.670173486419504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453800</v>
      </c>
      <c r="M9" s="40">
        <f>SUM(M11:M12)</f>
        <v>119565</v>
      </c>
      <c r="N9" s="39">
        <f ca="1">IF(L9&gt;0,M9*100/L9,0)</f>
        <v>26.34750991626267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IFERROR(__xludf.DUMMYFUNCTION("IMPORTRANGE(""https://docs.google.com/spreadsheets/d/1C3CXT74ZlgGe6_JY_1olB1XN4rF0dxEuIIF-xsYjHgg/edit?usp=sharing"",""พรบ!C63"")"),453800)</f>
        <v>453800</v>
      </c>
      <c r="M12" s="49">
        <f>SUM(M13:M14)</f>
        <v>119565</v>
      </c>
      <c r="N12" s="49">
        <f t="shared" ca="1" si="4"/>
        <v>26.34750991626267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47"/>
      <c r="K13" s="48"/>
      <c r="L13" s="52">
        <f ca="1">IFERROR(__xludf.DUMMYFUNCTION("IMPORTRANGE(""https://docs.google.com/spreadsheets/d/1C3CXT74ZlgGe6_JY_1olB1XN4rF0dxEuIIF-xsYjHgg/edit?usp=sharing"",""พรบ!D63"")"),81800)</f>
        <v>81800</v>
      </c>
      <c r="M13" s="53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47"/>
      <c r="K14" s="48"/>
      <c r="L14" s="52">
        <f ca="1">IFERROR(__xludf.DUMMYFUNCTION("IMPORTRANGE(""https://docs.google.com/spreadsheets/d/1C3CXT74ZlgGe6_JY_1olB1XN4rF0dxEuIIF-xsYjHgg/edit?usp=sharing"",""พรบ!E63"")"),372000)</f>
        <v>372000</v>
      </c>
      <c r="M14" s="53">
        <v>119565</v>
      </c>
      <c r="N14" s="52">
        <f t="shared" ca="1" si="4"/>
        <v>32.141129032258064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47"/>
      <c r="K15" s="48"/>
      <c r="L15" s="60"/>
      <c r="M15" s="60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7">
        <v>0</v>
      </c>
      <c r="K16" s="48"/>
      <c r="L16" s="60"/>
      <c r="M16" s="60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7">
        <v>1</v>
      </c>
      <c r="K17" s="48"/>
      <c r="L17" s="60" t="s">
        <v>21</v>
      </c>
      <c r="M17" s="60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7">
        <v>1</v>
      </c>
      <c r="K18" s="48"/>
      <c r="L18" s="60"/>
      <c r="M18" s="60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7">
        <v>0</v>
      </c>
      <c r="K19" s="48"/>
      <c r="L19" s="60"/>
      <c r="M19" s="60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1</v>
      </c>
      <c r="J20" s="78">
        <f t="shared" si="5"/>
        <v>0</v>
      </c>
      <c r="K20" s="79">
        <f t="shared" ref="K20:K28" ca="1" si="6">IF(I20&gt;0,J20*100/I20,0)</f>
        <v>0</v>
      </c>
      <c r="L20" s="60"/>
      <c r="M20" s="60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30</v>
      </c>
      <c r="J21" s="78">
        <f t="shared" si="7"/>
        <v>0</v>
      </c>
      <c r="K21" s="79">
        <f t="shared" ca="1" si="6"/>
        <v>0</v>
      </c>
      <c r="L21" s="60"/>
      <c r="M21" s="60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IFERROR(__xludf.DUMMYFUNCTION("IMPORTRANGE(""https://docs.google.com/spreadsheets/d/1C3CXT74ZlgGe6_JY_1olB1XN4rF0dxEuIIF-xsYjHgg/edit?usp=sharing"",""พรบ!H63"")"),0)</f>
        <v>0</v>
      </c>
      <c r="J22" s="66">
        <v>0</v>
      </c>
      <c r="K22" s="48">
        <f t="shared" ca="1" si="6"/>
        <v>0</v>
      </c>
      <c r="L22" s="60"/>
      <c r="M22" s="60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IFERROR(__xludf.DUMMYFUNCTION("IMPORTRANGE(""https://docs.google.com/spreadsheets/d/1C3CXT74ZlgGe6_JY_1olB1XN4rF0dxEuIIF-xsYjHgg/edit?usp=sharing"",""พรบ!I63"")"),0)</f>
        <v>0</v>
      </c>
      <c r="J23" s="66">
        <v>0</v>
      </c>
      <c r="K23" s="48">
        <f t="shared" ca="1" si="6"/>
        <v>0</v>
      </c>
      <c r="L23" s="60"/>
      <c r="M23" s="60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IFERROR(__xludf.DUMMYFUNCTION("IMPORTRANGE(""https://docs.google.com/spreadsheets/d/1C3CXT74ZlgGe6_JY_1olB1XN4rF0dxEuIIF-xsYjHgg/edit?usp=sharing"",""พรบ!J63"")"),1)</f>
        <v>1</v>
      </c>
      <c r="J24" s="67">
        <v>0</v>
      </c>
      <c r="K24" s="48">
        <f t="shared" ca="1" si="6"/>
        <v>0</v>
      </c>
      <c r="L24" s="60"/>
      <c r="M24" s="60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IFERROR(__xludf.DUMMYFUNCTION("IMPORTRANGE(""https://docs.google.com/spreadsheets/d/1C3CXT74ZlgGe6_JY_1olB1XN4rF0dxEuIIF-xsYjHgg/edit?usp=sharing"",""พรบ!K63"")"),30)</f>
        <v>30</v>
      </c>
      <c r="J25" s="67">
        <v>0</v>
      </c>
      <c r="K25" s="48">
        <f t="shared" ca="1" si="6"/>
        <v>0</v>
      </c>
      <c r="L25" s="60"/>
      <c r="M25" s="60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IFERROR(__xludf.DUMMYFUNCTION("IMPORTRANGE(""https://docs.google.com/spreadsheets/d/1C3CXT74ZlgGe6_JY_1olB1XN4rF0dxEuIIF-xsYjHgg/edit?usp=sharing"",""พรบ!L63"")"),0)</f>
        <v>0</v>
      </c>
      <c r="J26" s="66">
        <v>0</v>
      </c>
      <c r="K26" s="48">
        <f t="shared" ca="1" si="6"/>
        <v>0</v>
      </c>
      <c r="L26" s="60"/>
      <c r="M26" s="60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IFERROR(__xludf.DUMMYFUNCTION("IMPORTRANGE(""https://docs.google.com/spreadsheets/d/1C3CXT74ZlgGe6_JY_1olB1XN4rF0dxEuIIF-xsYjHgg/edit?usp=sharing"",""พรบ!M63"")"),0)</f>
        <v>0</v>
      </c>
      <c r="J27" s="66">
        <v>0</v>
      </c>
      <c r="K27" s="48">
        <f t="shared" ca="1" si="6"/>
        <v>0</v>
      </c>
      <c r="L27" s="60"/>
      <c r="M27" s="60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IFERROR(__xludf.DUMMYFUNCTION("IMPORTRANGE(""https://docs.google.com/spreadsheets/d/1C3CXT74ZlgGe6_JY_1olB1XN4rF0dxEuIIF-xsYjHgg/edit?usp=sharing"",""พรบ!N63"")"),0)</f>
        <v>0</v>
      </c>
      <c r="J28" s="66">
        <v>0</v>
      </c>
      <c r="K28" s="48">
        <f t="shared" ca="1" si="6"/>
        <v>0</v>
      </c>
      <c r="L28" s="60"/>
      <c r="M28" s="60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7">
        <v>0</v>
      </c>
      <c r="K29" s="48"/>
      <c r="L29" s="60"/>
      <c r="M29" s="60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84">
        <v>0</v>
      </c>
      <c r="K30" s="48"/>
      <c r="L30" s="60"/>
      <c r="M30" s="60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IFERROR(__xludf.DUMMYFUNCTION("IMPORTRANGE(""https://docs.google.com/spreadsheets/d/1C3CXT74ZlgGe6_JY_1olB1XN4rF0dxEuIIF-xsYjHgg/edit?usp=sharing"",""พรบ!O63"")"),0)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IFERROR(__xludf.DUMMYFUNCTION("IMPORTRANGE(""https://docs.google.com/spreadsheets/d/1C3CXT74ZlgGe6_JY_1olB1XN4rF0dxEuIIF-xsYjHgg/edit?usp=sharing"",""พรบ!P63"")"),0)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IFERROR(__xludf.DUMMYFUNCTION("IMPORTRANGE(""https://docs.google.com/spreadsheets/d/1C3CXT74ZlgGe6_JY_1olB1XN4rF0dxEuIIF-xsYjHgg/edit?usp=sharing"",""พรบ!Q63"")"),0)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IFERROR(__xludf.DUMMYFUNCTION("IMPORTRANGE(""https://docs.google.com/spreadsheets/d/1C3CXT74ZlgGe6_JY_1olB1XN4rF0dxEuIIF-xsYjHgg/edit?usp=sharing"",""พรบ!R63"")"),0)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IFERROR(__xludf.DUMMYFUNCTION("IMPORTRANGE(""https://docs.google.com/spreadsheets/d/1C3CXT74ZlgGe6_JY_1olB1XN4rF0dxEuIIF-xsYjHgg/edit?usp=sharing"",""พรบ!S63"")"),0)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IFERROR(__xludf.DUMMYFUNCTION("IMPORTRANGE(""https://docs.google.com/spreadsheets/d/1C3CXT74ZlgGe6_JY_1olB1XN4rF0dxEuIIF-xsYjHgg/edit?usp=sharing"",""พรบ!T63"")"),0)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IFERROR(__xludf.DUMMYFUNCTION("IMPORTRANGE(""https://docs.google.com/spreadsheets/d/1C3CXT74ZlgGe6_JY_1olB1XN4rF0dxEuIIF-xsYjHgg/edit?usp=sharing"",""พรบ!U63"")"),0)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IFERROR(__xludf.DUMMYFUNCTION("IMPORTRANGE(""https://docs.google.com/spreadsheets/d/1C3CXT74ZlgGe6_JY_1olB1XN4rF0dxEuIIF-xsYjHgg/edit?usp=sharing"",""พรบ!V63"")"),0)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IFERROR(__xludf.DUMMYFUNCTION("IMPORTRANGE(""https://docs.google.com/spreadsheets/d/1C3CXT74ZlgGe6_JY_1olB1XN4rF0dxEuIIF-xsYjHgg/edit?usp=sharing"",""พรบ!W63"")"),0)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+J61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IFERROR(__xludf.DUMMYFUNCTION("IMPORTRANGE(""https://docs.google.com/spreadsheets/d/1C3CXT74ZlgGe6_JY_1olB1XN4rF0dxEuIIF-xsYjHgg/edit?usp=sharing"",""พรบ!Y63"")"),0)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IFERROR(__xludf.DUMMYFUNCTION("IMPORTRANGE(""https://docs.google.com/spreadsheets/d/1C3CXT74ZlgGe6_JY_1olB1XN4rF0dxEuIIF-xsYjHgg/edit?usp=sharing"",""พรบ!Z63"")"),0)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IFERROR(__xludf.DUMMYFUNCTION("IMPORTRANGE(""https://docs.google.com/spreadsheets/d/1C3CXT74ZlgGe6_JY_1olB1XN4rF0dxEuIIF-xsYjHgg/edit?usp=sharing"",""พรบ!AA63"")"),0)</f>
        <v>0</v>
      </c>
      <c r="J62" s="66">
        <v>0</v>
      </c>
      <c r="K62" s="232">
        <f ca="1">IF(I62&gt;0,J61*100/I62,0)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ca="1">IF(I63&gt;0,J63*100/I63,0)</f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4">I126+I129</f>
        <v>15</v>
      </c>
      <c r="J68" s="136">
        <f t="shared" si="14"/>
        <v>0</v>
      </c>
      <c r="K68" s="137">
        <f ca="1">IF(I68&gt;0,J68*100/I68,0)</f>
        <v>0</v>
      </c>
      <c r="L68" s="138">
        <f t="shared" ref="L68:M68" ca="1" si="15">SUM(L70:L71)</f>
        <v>264400</v>
      </c>
      <c r="M68" s="138">
        <f t="shared" si="15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6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264400</v>
      </c>
      <c r="M71" s="139">
        <f>SUM(M72:M73)</f>
        <v>0</v>
      </c>
      <c r="N71" s="49">
        <f t="shared" ca="1" si="16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IFERROR(__xludf.DUMMYFUNCTION("IMPORTRANGE(""https://docs.google.com/spreadsheets/d/1C3CXT74ZlgGe6_JY_1olB1XN4rF0dxEuIIF-xsYjHgg/edit?usp=sharing"",""พรบ!AD63"")"),219800)</f>
        <v>219800</v>
      </c>
      <c r="M72" s="53">
        <v>0</v>
      </c>
      <c r="N72" s="52">
        <f t="shared" ca="1" si="16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7">L77+L92+L104+L117+L132</f>
        <v>44600</v>
      </c>
      <c r="M73" s="52">
        <f t="shared" si="17"/>
        <v>0</v>
      </c>
      <c r="N73" s="52">
        <f t="shared" ca="1" si="16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8">I83</f>
        <v>4</v>
      </c>
      <c r="J74" s="145">
        <f t="shared" si="18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6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6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19">L77</f>
        <v>7500</v>
      </c>
      <c r="M76" s="49">
        <f t="shared" si="19"/>
        <v>0</v>
      </c>
      <c r="N76" s="49">
        <f t="shared" ca="1" si="16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IFERROR(__xludf.DUMMYFUNCTION("IMPORTRANGE(""https://docs.google.com/spreadsheets/d/1C3CXT74ZlgGe6_JY_1olB1XN4rF0dxEuIIF-xsYjHgg/edit?usp=sharing"",""พรบ!AF63"")"),7500)</f>
        <v>7500</v>
      </c>
      <c r="M77" s="53">
        <v>0</v>
      </c>
      <c r="N77" s="52">
        <f t="shared" ca="1" si="16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IFERROR(__xludf.DUMMYFUNCTION("IMPORTRANGE(""https://docs.google.com/spreadsheets/d/1C3CXT74ZlgGe6_JY_1olB1XN4rF0dxEuIIF-xsYjHgg/edit?usp=sharing"",""พรบ!AG63"")"),4)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0">I98</f>
        <v>1</v>
      </c>
      <c r="J89" s="149">
        <f t="shared" si="20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0</v>
      </c>
      <c r="N89" s="147">
        <f t="shared" ref="N89:N92" ca="1" si="21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1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2">L92</f>
        <v>14000</v>
      </c>
      <c r="M91" s="49">
        <f t="shared" si="22"/>
        <v>0</v>
      </c>
      <c r="N91" s="49">
        <f t="shared" ca="1" si="21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IFERROR(__xludf.DUMMYFUNCTION("IMPORTRANGE(""https://docs.google.com/spreadsheets/d/1C3CXT74ZlgGe6_JY_1olB1XN4rF0dxEuIIF-xsYjHgg/edit?usp=sharing"",""พรบ!AH63"")"),14000)</f>
        <v>14000</v>
      </c>
      <c r="M92" s="53">
        <v>0</v>
      </c>
      <c r="N92" s="52">
        <f t="shared" ca="1" si="21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IFERROR(__xludf.DUMMYFUNCTION("IMPORTRANGE(""https://docs.google.com/spreadsheets/d/1C3CXT74ZlgGe6_JY_1olB1XN4rF0dxEuIIF-xsYjHgg/edit?usp=sharing"",""พรบ!AI63"")"),1)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IFERROR(__xludf.DUMMYFUNCTION("IMPORTRANGE(""https://docs.google.com/spreadsheets/d/1C3CXT74ZlgGe6_JY_1olB1XN4rF0dxEuIIF-xsYjHgg/edit?usp=sharing"",""กปร!C63"")"),12000)</f>
        <v>12000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3">I111</f>
        <v>0</v>
      </c>
      <c r="J101" s="149">
        <f t="shared" si="23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4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4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4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IFERROR(__xludf.DUMMYFUNCTION("IMPORTRANGE(""https://docs.google.com/spreadsheets/d/1C3CXT74ZlgGe6_JY_1olB1XN4rF0dxEuIIF-xsYjHgg/edit?usp=sharing"",""พรบ!AJ63"")"),0)</f>
        <v>0</v>
      </c>
      <c r="M104" s="52">
        <v>0</v>
      </c>
      <c r="N104" s="52">
        <f t="shared" ca="1" si="24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IFERROR(__xludf.DUMMYFUNCTION("IMPORTRANGE(""https://docs.google.com/spreadsheets/d/1C3CXT74ZlgGe6_JY_1olB1XN4rF0dxEuIIF-xsYjHgg/edit?usp=sharing"",""พรบ!AK63"")"),0)</f>
        <v>0</v>
      </c>
      <c r="J110" s="66">
        <v>0</v>
      </c>
      <c r="K110" s="232">
        <f t="shared" ref="K110:K111" ca="1" si="25">IF(I110&gt;0,J110*100/I110,0)</f>
        <v>0</v>
      </c>
      <c r="L110" s="52">
        <f ca="1">IFERROR(__xludf.DUMMYFUNCTION("IMPORTRANGE(""https://docs.google.com/spreadsheets/d/1C3CXT74ZlgGe6_JY_1olB1XN4rF0dxEuIIF-xsYjHgg/edit?usp=sharing"",""กปร!D63"")"),0)</f>
        <v>0</v>
      </c>
      <c r="M110" s="52">
        <v>0</v>
      </c>
      <c r="N110" s="52">
        <f t="shared" ref="N110:N111" ca="1" si="26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IFERROR(__xludf.DUMMYFUNCTION("IMPORTRANGE(""https://docs.google.com/spreadsheets/d/1C3CXT74ZlgGe6_JY_1olB1XN4rF0dxEuIIF-xsYjHgg/edit?usp=sharing"",""พรบ!AL63"")"),0)</f>
        <v>0</v>
      </c>
      <c r="J111" s="66">
        <v>0</v>
      </c>
      <c r="K111" s="232">
        <f t="shared" ca="1" si="25"/>
        <v>0</v>
      </c>
      <c r="L111" s="52">
        <f ca="1">IFERROR(__xludf.DUMMYFUNCTION("IMPORTRANGE(""https://docs.google.com/spreadsheets/d/1C3CXT74ZlgGe6_JY_1olB1XN4rF0dxEuIIF-xsYjHgg/edit?usp=sharing"",""กปร!E63"")"),0)</f>
        <v>0</v>
      </c>
      <c r="M111" s="52">
        <v>0</v>
      </c>
      <c r="N111" s="52">
        <f t="shared" ca="1" si="26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7">I125</f>
        <v>12800</v>
      </c>
      <c r="J114" s="149">
        <f t="shared" si="27"/>
        <v>0</v>
      </c>
      <c r="K114" s="150">
        <f ca="1">IF(I114&gt;0,J114*100/I114,0)</f>
        <v>0</v>
      </c>
      <c r="L114" s="147">
        <f ca="1">L115+L116</f>
        <v>23100</v>
      </c>
      <c r="M114" s="147">
        <f>SUM(M115:M116)</f>
        <v>0</v>
      </c>
      <c r="N114" s="147">
        <f t="shared" ref="N114:N117" ca="1" si="28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8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23100</v>
      </c>
      <c r="M116" s="49">
        <f>M117</f>
        <v>0</v>
      </c>
      <c r="N116" s="49">
        <f t="shared" ca="1" si="28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IFERROR(__xludf.DUMMYFUNCTION("IMPORTRANGE(""https://docs.google.com/spreadsheets/d/1C3CXT74ZlgGe6_JY_1olB1XN4rF0dxEuIIF-xsYjHgg/edit?usp=sharing"",""พรบ!AM63"")"),23100)</f>
        <v>23100</v>
      </c>
      <c r="M117" s="53">
        <v>0</v>
      </c>
      <c r="N117" s="52">
        <f t="shared" ca="1" si="28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IFERROR(__xludf.DUMMYFUNCTION("IMPORTRANGE(""https://docs.google.com/spreadsheets/d/1C3CXT74ZlgGe6_JY_1olB1XN4rF0dxEuIIF-xsYjHgg/edit?usp=sharing"",""พรบ!AO63"")"),12800)</f>
        <v>12800</v>
      </c>
      <c r="J124" s="67">
        <v>0</v>
      </c>
      <c r="K124" s="48">
        <f t="shared" ref="K124:K126" ca="1" si="29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IFERROR(__xludf.DUMMYFUNCTION("IMPORTRANGE(""https://docs.google.com/spreadsheets/d/1C3CXT74ZlgGe6_JY_1olB1XN4rF0dxEuIIF-xsYjHgg/edit?usp=sharing"",""พรบ!AP63"")"),12800)</f>
        <v>12800</v>
      </c>
      <c r="J125" s="67">
        <v>0</v>
      </c>
      <c r="K125" s="48">
        <f t="shared" ca="1" si="29"/>
        <v>0</v>
      </c>
      <c r="L125" s="52">
        <f ca="1">IFERROR(__xludf.DUMMYFUNCTION("IMPORTRANGE(""https://docs.google.com/spreadsheets/d/1C3CXT74ZlgGe6_JY_1olB1XN4rF0dxEuIIF-xsYjHgg/edit?usp=sharing"",""กปร!F63"")"),4100)</f>
        <v>4100</v>
      </c>
      <c r="M125" s="361">
        <v>0</v>
      </c>
      <c r="N125" s="52">
        <f t="shared" ref="N125:N126" ca="1" si="30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IFERROR(__xludf.DUMMYFUNCTION("IMPORTRANGE(""https://docs.google.com/spreadsheets/d/1C3CXT74ZlgGe6_JY_1olB1XN4rF0dxEuIIF-xsYjHgg/edit?usp=sharing"",""พรบ!AQ63"")"),15)</f>
        <v>15</v>
      </c>
      <c r="J126" s="67">
        <v>0</v>
      </c>
      <c r="K126" s="48">
        <f t="shared" ca="1" si="29"/>
        <v>0</v>
      </c>
      <c r="L126" s="52">
        <f ca="1">IFERROR(__xludf.DUMMYFUNCTION("IMPORTRANGE(""https://docs.google.com/spreadsheets/d/1C3CXT74ZlgGe6_JY_1olB1XN4rF0dxEuIIF-xsYjHgg/edit?usp=sharing"",""กปร!G63"")"),15000)</f>
        <v>15000</v>
      </c>
      <c r="M126" s="361">
        <v>0</v>
      </c>
      <c r="N126" s="52">
        <f t="shared" ca="1" si="30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1">I138</f>
        <v>0</v>
      </c>
      <c r="J129" s="149">
        <f t="shared" si="31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2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2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2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IFERROR(__xludf.DUMMYFUNCTION("IMPORTRANGE(""https://docs.google.com/spreadsheets/d/1C3CXT74ZlgGe6_JY_1olB1XN4rF0dxEuIIF-xsYjHgg/edit?usp=sharing"",""พรบ!AR63"")"),0)</f>
        <v>0</v>
      </c>
      <c r="M132" s="52">
        <v>0</v>
      </c>
      <c r="N132" s="52">
        <f t="shared" ca="1" si="32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IFERROR(__xludf.DUMMYFUNCTION("IMPORTRANGE(""https://docs.google.com/spreadsheets/d/1C3CXT74ZlgGe6_JY_1olB1XN4rF0dxEuIIF-xsYjHgg/edit?usp=sharing"",""พรบ!AS63"")"),0)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IFERROR(__xludf.DUMMYFUNCTION("IMPORTRANGE(""https://docs.google.com/spreadsheets/d/1C3CXT74ZlgGe6_JY_1olB1XN4rF0dxEuIIF-xsYjHgg/edit?usp=sharing"",""กปร!H63"")"),0)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IFERROR(__xludf.DUMMYFUNCTION("IMPORTRANGE(""https://docs.google.com/spreadsheets/d/1C3CXT74ZlgGe6_JY_1olB1XN4rF0dxEuIIF-xsYjHgg/edit?usp=sharing"",""พรบ!AT63"")"),0)</f>
        <v>0</v>
      </c>
      <c r="J140" s="66">
        <v>0</v>
      </c>
      <c r="K140" s="232">
        <f t="shared" ref="K140:K141" ca="1" si="33">IF(I140&gt;0,J140*100/I140,0)</f>
        <v>0</v>
      </c>
      <c r="L140" s="52">
        <f ca="1">IFERROR(__xludf.DUMMYFUNCTION("IMPORTRANGE(""https://docs.google.com/spreadsheets/d/1C3CXT74ZlgGe6_JY_1olB1XN4rF0dxEuIIF-xsYjHgg/edit?usp=sharing"",""กปร!I63"")"),0)</f>
        <v>0</v>
      </c>
      <c r="M140" s="52">
        <v>0</v>
      </c>
      <c r="N140" s="52">
        <f t="shared" ref="N140:N141" ca="1" si="34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IFERROR(__xludf.DUMMYFUNCTION("IMPORTRANGE(""https://docs.google.com/spreadsheets/d/1C3CXT74ZlgGe6_JY_1olB1XN4rF0dxEuIIF-xsYjHgg/edit?usp=sharing"",""พรบ!AU63"")"),0)</f>
        <v>0</v>
      </c>
      <c r="J141" s="66">
        <v>0</v>
      </c>
      <c r="K141" s="232">
        <f t="shared" ca="1" si="33"/>
        <v>0</v>
      </c>
      <c r="L141" s="52">
        <f ca="1">IFERROR(__xludf.DUMMYFUNCTION("IMPORTRANGE(""https://docs.google.com/spreadsheets/d/1C3CXT74ZlgGe6_JY_1olB1XN4rF0dxEuIIF-xsYjHgg/edit?usp=sharing"",""กปร!J63"")"),0)</f>
        <v>0</v>
      </c>
      <c r="M141" s="52">
        <v>0</v>
      </c>
      <c r="N141" s="52">
        <f t="shared" ca="1" si="34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5">+I149+I158</f>
        <v>13</v>
      </c>
      <c r="J144" s="136">
        <f t="shared" si="35"/>
        <v>0</v>
      </c>
      <c r="K144" s="137">
        <f ca="1">IF(I144&gt;0,J144*100/I144,0)</f>
        <v>0</v>
      </c>
      <c r="L144" s="138">
        <f ca="1">L145+L146</f>
        <v>19295</v>
      </c>
      <c r="M144" s="138">
        <f>SUM(M145:M146)</f>
        <v>19295</v>
      </c>
      <c r="N144" s="137">
        <f ca="1">IF(L144&gt;0,M144*100/L144,0)</f>
        <v>100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6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7">SUM(L147:L148)</f>
        <v>19295</v>
      </c>
      <c r="M146" s="49">
        <f t="shared" si="37"/>
        <v>19295</v>
      </c>
      <c r="N146" s="49">
        <f t="shared" ca="1" si="36"/>
        <v>100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6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IFERROR(__xludf.DUMMYFUNCTION("IMPORTRANGE(""https://docs.google.com/spreadsheets/d/1C3CXT74ZlgGe6_JY_1olB1XN4rF0dxEuIIF-xsYjHgg/edit?usp=sharing"",""พรบ!AY63"")"),19295)</f>
        <v>19295</v>
      </c>
      <c r="M148" s="53">
        <v>19295</v>
      </c>
      <c r="N148" s="52">
        <f t="shared" ca="1" si="36"/>
        <v>100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IFERROR(__xludf.DUMMYFUNCTION("IMPORTRANGE(""https://docs.google.com/spreadsheets/d/1C3CXT74ZlgGe6_JY_1olB1XN4rF0dxEuIIF-xsYjHgg/edit?usp=sharing"",""พรบ!BA63"")"),13)</f>
        <v>13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20</v>
      </c>
      <c r="J169" s="177">
        <f>+J180</f>
        <v>0</v>
      </c>
      <c r="K169" s="178">
        <f ca="1">IF(I169&gt;0,J169*100/I169,0)</f>
        <v>0</v>
      </c>
      <c r="L169" s="179">
        <f ca="1">L170+L171</f>
        <v>71400</v>
      </c>
      <c r="M169" s="179">
        <f>SUM(M170:M171)</f>
        <v>10360</v>
      </c>
      <c r="N169" s="178">
        <f ca="1">IF(L169&gt;0,M169*100/L169,0)</f>
        <v>14.509803921568627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8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39">SUM(L172:L173)</f>
        <v>71400</v>
      </c>
      <c r="M171" s="49">
        <f t="shared" si="39"/>
        <v>10360</v>
      </c>
      <c r="N171" s="49">
        <f t="shared" ca="1" si="38"/>
        <v>14.509803921568627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47"/>
      <c r="K172" s="48"/>
      <c r="L172" s="52">
        <f ca="1">IFERROR(__xludf.DUMMYFUNCTION("IMPORTRANGE(""https://docs.google.com/spreadsheets/d/1C3CXT74ZlgGe6_JY_1olB1XN4rF0dxEuIIF-xsYjHgg/edit?usp=sharing"",""พรบ!BD63"")"),0)</f>
        <v>0</v>
      </c>
      <c r="M172" s="52">
        <v>0</v>
      </c>
      <c r="N172" s="52">
        <f t="shared" ca="1" si="38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47"/>
      <c r="K173" s="48"/>
      <c r="L173" s="52">
        <f ca="1">IFERROR(__xludf.DUMMYFUNCTION("IMPORTRANGE(""https://docs.google.com/spreadsheets/d/1C3CXT74ZlgGe6_JY_1olB1XN4rF0dxEuIIF-xsYjHgg/edit?usp=sharing"",""พรบ!BE63"")"),71400)</f>
        <v>71400</v>
      </c>
      <c r="M173" s="53">
        <v>10360</v>
      </c>
      <c r="N173" s="52">
        <f t="shared" ca="1" si="38"/>
        <v>14.509803921568627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47"/>
      <c r="K174" s="48"/>
      <c r="L174" s="60"/>
      <c r="M174" s="60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7">
        <v>1</v>
      </c>
      <c r="K175" s="48"/>
      <c r="L175" s="60"/>
      <c r="M175" s="60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7">
        <v>0</v>
      </c>
      <c r="K176" s="48"/>
      <c r="L176" s="60" t="s">
        <v>21</v>
      </c>
      <c r="M176" s="60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7">
        <v>0</v>
      </c>
      <c r="K177" s="48"/>
      <c r="L177" s="60"/>
      <c r="M177" s="60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7">
        <v>0</v>
      </c>
      <c r="K178" s="48"/>
      <c r="L178" s="60"/>
      <c r="M178" s="60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IFERROR(__xludf.DUMMYFUNCTION("IMPORTRANGE(""https://docs.google.com/spreadsheets/d/1C3CXT74ZlgGe6_JY_1olB1XN4rF0dxEuIIF-xsYjHgg/edit?usp=sharing"",""พรบ!BF63"")"),1)</f>
        <v>1</v>
      </c>
      <c r="J179" s="67">
        <v>0</v>
      </c>
      <c r="K179" s="48">
        <f t="shared" ref="K179:K182" ca="1" si="40">IF(I179&gt;0,J179*100/I179,0)</f>
        <v>0</v>
      </c>
      <c r="L179" s="60"/>
      <c r="M179" s="60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IFERROR(__xludf.DUMMYFUNCTION("IMPORTRANGE(""https://docs.google.com/spreadsheets/d/1C3CXT74ZlgGe6_JY_1olB1XN4rF0dxEuIIF-xsYjHgg/edit?usp=sharing"",""พรบ!BG63"")"),20)</f>
        <v>20</v>
      </c>
      <c r="J180" s="67">
        <v>0</v>
      </c>
      <c r="K180" s="48">
        <f t="shared" ca="1" si="40"/>
        <v>0</v>
      </c>
      <c r="L180" s="60"/>
      <c r="M180" s="60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IFERROR(__xludf.DUMMYFUNCTION("IMPORTRANGE(""https://docs.google.com/spreadsheets/d/1C3CXT74ZlgGe6_JY_1olB1XN4rF0dxEuIIF-xsYjHgg/edit?usp=sharing"",""พรบ!BH63"")"),20)</f>
        <v>20</v>
      </c>
      <c r="J181" s="67">
        <v>0</v>
      </c>
      <c r="K181" s="48">
        <f t="shared" ca="1" si="40"/>
        <v>0</v>
      </c>
      <c r="L181" s="60"/>
      <c r="M181" s="60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IFERROR(__xludf.DUMMYFUNCTION("IMPORTRANGE(""https://docs.google.com/spreadsheets/d/1C3CXT74ZlgGe6_JY_1olB1XN4rF0dxEuIIF-xsYjHgg/edit?usp=sharing"",""พรบ!BI63"")"),1)</f>
        <v>1</v>
      </c>
      <c r="J182" s="67">
        <v>0</v>
      </c>
      <c r="K182" s="48">
        <f t="shared" ca="1" si="40"/>
        <v>0</v>
      </c>
      <c r="L182" s="60"/>
      <c r="M182" s="60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7">
        <v>0</v>
      </c>
      <c r="K183" s="48"/>
      <c r="L183" s="60"/>
      <c r="M183" s="60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112">
        <v>0</v>
      </c>
      <c r="K184" s="113"/>
      <c r="L184" s="114"/>
      <c r="M184" s="114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165200</v>
      </c>
      <c r="M185" s="179">
        <f>SUM(M186:M187)</f>
        <v>9000</v>
      </c>
      <c r="N185" s="178">
        <f ca="1">IF(L185&gt;0,M185*100/L185,0)</f>
        <v>5.4479418886198543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1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2">SUM(L188:L189)</f>
        <v>165200</v>
      </c>
      <c r="M187" s="49">
        <f t="shared" si="42"/>
        <v>9000</v>
      </c>
      <c r="N187" s="49">
        <f t="shared" ca="1" si="41"/>
        <v>5.4479418886198543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IFERROR(__xludf.DUMMYFUNCTION("IMPORTRANGE(""https://docs.google.com/spreadsheets/d/1C3CXT74ZlgGe6_JY_1olB1XN4rF0dxEuIIF-xsYjHgg/edit?usp=sharing"",""พรบ!BK63"")"),0)</f>
        <v>0</v>
      </c>
      <c r="M188" s="52">
        <v>0</v>
      </c>
      <c r="N188" s="52">
        <f t="shared" ca="1" si="41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IFERROR(__xludf.DUMMYFUNCTION("IMPORTRANGE(""https://docs.google.com/spreadsheets/d/1C3CXT74ZlgGe6_JY_1olB1XN4rF0dxEuIIF-xsYjHgg/edit?usp=sharing"",""พรบ!BL63"")"),165200)</f>
        <v>165200</v>
      </c>
      <c r="M189" s="53">
        <v>9000</v>
      </c>
      <c r="N189" s="52">
        <f t="shared" ca="1" si="41"/>
        <v>5.4479418886198543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1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0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IFERROR(__xludf.DUMMYFUNCTION("IMPORTRANGE(""https://docs.google.com/spreadsheets/d/1C3CXT74ZlgGe6_JY_1olB1XN4rF0dxEuIIF-xsYjHgg/edit?usp=sharing"",""พรบ!BM63"")"),15)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3">I209</f>
        <v>0</v>
      </c>
      <c r="J199" s="177">
        <f t="shared" si="43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66" t="s">
        <v>21</v>
      </c>
      <c r="J200" s="66"/>
      <c r="K200" s="232"/>
      <c r="L200" s="49">
        <v>0</v>
      </c>
      <c r="M200" s="49">
        <v>0</v>
      </c>
      <c r="N200" s="49">
        <f t="shared" ref="N200:N203" si="44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66"/>
      <c r="J201" s="66"/>
      <c r="K201" s="232"/>
      <c r="L201" s="49">
        <f t="shared" ref="L201:M201" ca="1" si="45">SUM(L202:L203)</f>
        <v>0</v>
      </c>
      <c r="M201" s="49">
        <f t="shared" si="45"/>
        <v>0</v>
      </c>
      <c r="N201" s="49">
        <f t="shared" ca="1" si="44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66"/>
      <c r="J202" s="66"/>
      <c r="K202" s="232"/>
      <c r="L202" s="52">
        <v>0</v>
      </c>
      <c r="M202" s="52">
        <v>0</v>
      </c>
      <c r="N202" s="52">
        <f t="shared" si="44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66"/>
      <c r="J203" s="66"/>
      <c r="K203" s="232"/>
      <c r="L203" s="52">
        <f ca="1">IFERROR(__xludf.DUMMYFUNCTION("IMPORTRANGE(""https://docs.google.com/spreadsheets/d/1C3CXT74ZlgGe6_JY_1olB1XN4rF0dxEuIIF-xsYjHgg/edit?usp=sharing"",""พรบ!BP63"")"),0)</f>
        <v>0</v>
      </c>
      <c r="M203" s="52">
        <v>0</v>
      </c>
      <c r="N203" s="52">
        <f t="shared" ca="1" si="44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66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IFERROR(__xludf.DUMMYFUNCTION("IMPORTRANGE(""https://docs.google.com/spreadsheets/d/1C3CXT74ZlgGe6_JY_1olB1XN4rF0dxEuIIF-xsYjHgg/edit?usp=sharing"",""พรบ!BQ63"")"),0)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IFERROR(__xludf.DUMMYFUNCTION("IMPORTRANGE(""https://docs.google.com/spreadsheets/d/1C3CXT74ZlgGe6_JY_1olB1XN4rF0dxEuIIF-xsYjHgg/edit?usp=sharing"",""พรบ!BR63"")"),0)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6">I224</f>
        <v>0</v>
      </c>
      <c r="J214" s="194">
        <f t="shared" si="46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7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8">SUM(L217:L218)</f>
        <v>0</v>
      </c>
      <c r="M216" s="52">
        <f t="shared" si="48"/>
        <v>0</v>
      </c>
      <c r="N216" s="52">
        <f t="shared" ca="1" si="47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7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IFERROR(__xludf.DUMMYFUNCTION("IMPORTRANGE(""https://docs.google.com/spreadsheets/d/1C3CXT74ZlgGe6_JY_1olB1XN4rF0dxEuIIF-xsYjHgg/edit?usp=sharing"",""พรบ!BU63"")"),0)</f>
        <v>0</v>
      </c>
      <c r="M218" s="52">
        <v>0</v>
      </c>
      <c r="N218" s="52">
        <f t="shared" ca="1" si="47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IFERROR(__xludf.DUMMYFUNCTION("IMPORTRANGE(""https://docs.google.com/spreadsheets/d/1C3CXT74ZlgGe6_JY_1olB1XN4rF0dxEuIIF-xsYjHgg/edit?usp=sharing"",""พรบ!BV63"")"),0)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27</v>
      </c>
      <c r="J228" s="197">
        <f ca="1">J240</f>
        <v>0</v>
      </c>
      <c r="K228" s="178">
        <f ca="1">IF(I228&gt;0,J228*100/I228,0)</f>
        <v>0</v>
      </c>
      <c r="L228" s="179">
        <f ca="1">L229+L230</f>
        <v>508730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49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0">SUM(L231:L232)</f>
        <v>508730</v>
      </c>
      <c r="M230" s="52">
        <f t="shared" si="50"/>
        <v>0</v>
      </c>
      <c r="N230" s="52">
        <f t="shared" ca="1" si="49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IFERROR(__xludf.DUMMYFUNCTION("IMPORTRANGE(""https://docs.google.com/spreadsheets/d/1C3CXT74ZlgGe6_JY_1olB1XN4rF0dxEuIIF-xsYjHgg/edit?usp=sharing"",""พรบ!BX63"")"),306000)</f>
        <v>306000</v>
      </c>
      <c r="M231" s="53">
        <v>0</v>
      </c>
      <c r="N231" s="52">
        <f t="shared" ca="1" si="49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IFERROR(__xludf.DUMMYFUNCTION("IMPORTRANGE(""https://docs.google.com/spreadsheets/d/1C3CXT74ZlgGe6_JY_1olB1XN4rF0dxEuIIF-xsYjHgg/edit?usp=sharing"",""พรบ!BY63"")"),202730)</f>
        <v>202730</v>
      </c>
      <c r="M232" s="53">
        <v>0</v>
      </c>
      <c r="N232" s="52">
        <f t="shared" ca="1" si="49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IFERROR(__xludf.DUMMYFUNCTION("IMPORTRANGE(""https://docs.google.com/spreadsheets/d/1AGHcLOeeYFL3K4b9R1dSzyJy00PE_ra89DNTVfnxSWM/edit?usp=sharing"",""รวมที่ทำกิน!J52"")"),0)</f>
        <v>0</v>
      </c>
      <c r="K234" s="200">
        <f t="shared" ref="K234:K241" si="51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IFERROR(__xludf.DUMMYFUNCTION("IMPORTRANGE(""https://docs.google.com/spreadsheets/d/1C3CXT74ZlgGe6_JY_1olB1XN4rF0dxEuIIF-xsYjHgg/edit?usp=sharing"",""พรบ!BZ63"")"),144)</f>
        <v>144</v>
      </c>
      <c r="J235" s="66">
        <f ca="1">IFERROR(__xludf.DUMMYFUNCTION("IMPORTRANGE(""https://docs.google.com/spreadsheets/d/1AGHcLOeeYFL3K4b9R1dSzyJy00PE_ra89DNTVfnxSWM/edit?usp=sharing"",""รวมที่ทำกิน!L52"")"),0)</f>
        <v>0</v>
      </c>
      <c r="K235" s="200">
        <f t="shared" ca="1" si="51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IFERROR(__xludf.DUMMYFUNCTION("IMPORTRANGE(""https://docs.google.com/spreadsheets/d/1C3CXT74ZlgGe6_JY_1olB1XN4rF0dxEuIIF-xsYjHgg/edit?usp=sharing"",""พรบ!CA63"")"),27)</f>
        <v>27</v>
      </c>
      <c r="J236" s="66">
        <f ca="1">IFERROR(__xludf.DUMMYFUNCTION("IMPORTRANGE(""https://docs.google.com/spreadsheets/d/1AGHcLOeeYFL3K4b9R1dSzyJy00PE_ra89DNTVfnxSWM/edit?usp=sharing"",""รวมที่ทำกิน!O52"")"),0)</f>
        <v>0</v>
      </c>
      <c r="K236" s="200">
        <f t="shared" ca="1" si="51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IFERROR(__xludf.DUMMYFUNCTION("IMPORTRANGE(""https://docs.google.com/spreadsheets/d/1AGHcLOeeYFL3K4b9R1dSzyJy00PE_ra89DNTVfnxSWM/edit?usp=sharing"",""รวมที่ทำกิน!Q52"")"),0)</f>
        <v>0</v>
      </c>
      <c r="K237" s="200">
        <f t="shared" si="51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IFERROR(__xludf.DUMMYFUNCTION("IMPORTRANGE(""https://docs.google.com/spreadsheets/d/1C3CXT74ZlgGe6_JY_1olB1XN4rF0dxEuIIF-xsYjHgg/edit?usp=sharing"",""พรบ!CB63"")"),27)</f>
        <v>27</v>
      </c>
      <c r="J238" s="66">
        <f ca="1">IFERROR(__xludf.DUMMYFUNCTION("IMPORTRANGE(""https://docs.google.com/spreadsheets/d/1AGHcLOeeYFL3K4b9R1dSzyJy00PE_ra89DNTVfnxSWM/edit?usp=sharing"",""รวมที่ทำกิน!S52"")"),0)</f>
        <v>0</v>
      </c>
      <c r="K238" s="200">
        <f t="shared" ca="1" si="51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IFERROR(__xludf.DUMMYFUNCTION("IMPORTRANGE(""https://docs.google.com/spreadsheets/d/1AGHcLOeeYFL3K4b9R1dSzyJy00PE_ra89DNTVfnxSWM/edit?usp=sharing"",""รวมที่ทำกิน!U52"")"),0)</f>
        <v>0</v>
      </c>
      <c r="K239" s="200">
        <f t="shared" si="51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IFERROR(__xludf.DUMMYFUNCTION("IMPORTRANGE(""https://docs.google.com/spreadsheets/d/1C3CXT74ZlgGe6_JY_1olB1XN4rF0dxEuIIF-xsYjHgg/edit?usp=sharing"",""พรบ!CC63"")"),27)</f>
        <v>27</v>
      </c>
      <c r="J240" s="66">
        <f ca="1">IFERROR(__xludf.DUMMYFUNCTION("IMPORTRANGE(""https://docs.google.com/spreadsheets/d/1AGHcLOeeYFL3K4b9R1dSzyJy00PE_ra89DNTVfnxSWM/edit?usp=sharing"",""รวมที่ทำกิน!W52"")"),0)</f>
        <v>0</v>
      </c>
      <c r="K240" s="200">
        <f t="shared" ca="1" si="51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IFERROR(__xludf.DUMMYFUNCTION("IMPORTRANGE(""https://docs.google.com/spreadsheets/d/1AGHcLOeeYFL3K4b9R1dSzyJy00PE_ra89DNTVfnxSWM/edit?usp=sharing"",""รวมที่ทำกิน!Y52"")"),0)</f>
        <v>0</v>
      </c>
      <c r="K241" s="363">
        <f t="shared" si="51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2">SUM(L244,L275,L296,L330,L350,L426,L444,L457,L473,L490)</f>
        <v>828674</v>
      </c>
      <c r="M242" s="213">
        <f t="shared" si="52"/>
        <v>145780</v>
      </c>
      <c r="N242" s="213">
        <f ca="1">+IF(L242&gt;0,M242*100/L242,0)</f>
        <v>17.591960167689585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3">I262</f>
        <v>10</v>
      </c>
      <c r="J244" s="226">
        <f>J270</f>
        <v>0</v>
      </c>
      <c r="K244" s="227">
        <f t="shared" ref="K244:K245" ca="1" si="54">IF(I244&gt;0,J244*100/I244,0)</f>
        <v>0</v>
      </c>
      <c r="L244" s="228">
        <f t="shared" ref="L244:M244" ca="1" si="55">SUM(L246:L247)</f>
        <v>49720</v>
      </c>
      <c r="M244" s="228">
        <f t="shared" si="55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3"/>
        <v>10</v>
      </c>
      <c r="J245" s="226">
        <f>J263</f>
        <v>0</v>
      </c>
      <c r="K245" s="227">
        <f t="shared" ca="1" si="54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6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7">SUM(L248:L249)</f>
        <v>49720</v>
      </c>
      <c r="M247" s="49">
        <f t="shared" si="57"/>
        <v>0</v>
      </c>
      <c r="N247" s="49">
        <f t="shared" ca="1" si="56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IFERROR(__xludf.DUMMYFUNCTION("IMPORTRANGE(""https://docs.google.com/spreadsheets/d/1C3CXT74ZlgGe6_JY_1olB1XN4rF0dxEuIIF-xsYjHgg/edit?usp=sharing"",""งบกองทุน!d63"")"),0)</f>
        <v>0</v>
      </c>
      <c r="M248" s="52">
        <v>0</v>
      </c>
      <c r="N248" s="52">
        <f t="shared" ca="1" si="56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IFERROR(__xludf.DUMMYFUNCTION("IMPORTRANGE(""https://docs.google.com/spreadsheets/d/1C3CXT74ZlgGe6_JY_1olB1XN4rF0dxEuIIF-xsYjHgg/edit?usp=sharing"",""งบกองทุน!e63"")"),49720)</f>
        <v>49720</v>
      </c>
      <c r="M249" s="52">
        <f>SUM(M250:M253)</f>
        <v>0</v>
      </c>
      <c r="N249" s="52">
        <f t="shared" ca="1" si="56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1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IFERROR(__xludf.DUMMYFUNCTION("IMPORTRANGE(""https://docs.google.com/spreadsheets/d/1C3CXT74ZlgGe6_JY_1olB1XN4rF0dxEuIIF-xsYjHgg/edit?usp=sharing"",""งบกองทุน!f63"")"),0)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8">SUM(I264,I266)</f>
        <v>10</v>
      </c>
      <c r="J262" s="66">
        <f t="shared" si="58"/>
        <v>0</v>
      </c>
      <c r="K262" s="48">
        <f t="shared" ref="K262:K268" ca="1" si="59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IFERROR(__xludf.DUMMYFUNCTION("IMPORTRANGE(""https://docs.google.com/spreadsheets/d/1C3CXT74ZlgGe6_JY_1olB1XN4rF0dxEuIIF-xsYjHgg/edit?usp=sharing"",""งบกองทุน!H63"")"),10)</f>
        <v>10</v>
      </c>
      <c r="J263" s="66">
        <f>J267</f>
        <v>0</v>
      </c>
      <c r="K263" s="48">
        <f t="shared" ca="1" si="59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IFERROR(__xludf.DUMMYFUNCTION("IMPORTRANGE(""https://docs.google.com/spreadsheets/d/1C3CXT74ZlgGe6_JY_1olB1XN4rF0dxEuIIF-xsYjHgg/edit?usp=sharing"",""งบกองทุน!i63"")"),0)</f>
        <v>0</v>
      </c>
      <c r="J264" s="66">
        <v>0</v>
      </c>
      <c r="K264" s="48">
        <f t="shared" ca="1" si="59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10</v>
      </c>
      <c r="J265" s="66">
        <v>0</v>
      </c>
      <c r="K265" s="48">
        <f t="shared" ca="1" si="59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IFERROR(__xludf.DUMMYFUNCTION("IMPORTRANGE(""https://docs.google.com/spreadsheets/d/1C3CXT74ZlgGe6_JY_1olB1XN4rF0dxEuIIF-xsYjHgg/edit?usp=sharing"",""งบกองทุน!k63"")"),10)</f>
        <v>10</v>
      </c>
      <c r="J266" s="67">
        <v>0</v>
      </c>
      <c r="K266" s="48">
        <f t="shared" ca="1" si="59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10</v>
      </c>
      <c r="J267" s="67">
        <v>0</v>
      </c>
      <c r="K267" s="48">
        <f t="shared" ca="1" si="59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IFERROR(__xludf.DUMMYFUNCTION("IMPORTRANGE(""https://docs.google.com/spreadsheets/d/1C3CXT74ZlgGe6_JY_1olB1XN4rF0dxEuIIF-xsYjHgg/edit?usp=sharing"",""งบกองทุน!m63"")"),0)</f>
        <v>0</v>
      </c>
      <c r="J268" s="66">
        <v>0</v>
      </c>
      <c r="K268" s="48">
        <f t="shared" ca="1" si="59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0">SUM(I271:I272)</f>
        <v>10</v>
      </c>
      <c r="J270" s="66">
        <f t="shared" si="60"/>
        <v>0</v>
      </c>
      <c r="K270" s="48">
        <f t="shared" ref="K270:K272" ca="1" si="61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IFERROR(__xludf.DUMMYFUNCTION("IMPORTRANGE(""https://docs.google.com/spreadsheets/d/1C3CXT74ZlgGe6_JY_1olB1XN4rF0dxEuIIF-xsYjHgg/edit?usp=sharing"",""งบกองทุน!o63"")"),10)</f>
        <v>10</v>
      </c>
      <c r="J271" s="67">
        <v>0</v>
      </c>
      <c r="K271" s="48">
        <f t="shared" ca="1" si="61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IFERROR(__xludf.DUMMYFUNCTION("IMPORTRANGE(""https://docs.google.com/spreadsheets/d/1C3CXT74ZlgGe6_JY_1olB1XN4rF0dxEuIIF-xsYjHgg/edit?usp=sharing"",""งบกองทุน!p63"")"),0)</f>
        <v>0</v>
      </c>
      <c r="J272" s="66">
        <v>0</v>
      </c>
      <c r="K272" s="48">
        <f t="shared" ca="1" si="61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2">IF(I275&gt;0,J275*100/I275,0)</f>
        <v>0</v>
      </c>
      <c r="L275" s="228">
        <f t="shared" ref="L275:M275" ca="1" si="63">SUM(L277:L278)</f>
        <v>207560</v>
      </c>
      <c r="M275" s="228">
        <f t="shared" si="63"/>
        <v>22760</v>
      </c>
      <c r="N275" s="228">
        <f ca="1">+IF(L275&gt;0,M275*100/L275,0)</f>
        <v>10.965503950664868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2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4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5">SUM(L279:L280)</f>
        <v>207560</v>
      </c>
      <c r="M278" s="49">
        <f t="shared" si="65"/>
        <v>22760</v>
      </c>
      <c r="N278" s="49">
        <f t="shared" ca="1" si="64"/>
        <v>10.965503950664868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IFERROR(__xludf.DUMMYFUNCTION("IMPORTRANGE(""https://docs.google.com/spreadsheets/d/1C3CXT74ZlgGe6_JY_1olB1XN4rF0dxEuIIF-xsYjHgg/edit?usp=sharing"",""งบกองทุน!r63"")"),0)</f>
        <v>0</v>
      </c>
      <c r="M279" s="52">
        <v>0</v>
      </c>
      <c r="N279" s="52">
        <f t="shared" ca="1" si="64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IFERROR(__xludf.DUMMYFUNCTION("IMPORTRANGE(""https://docs.google.com/spreadsheets/d/1C3CXT74ZlgGe6_JY_1olB1XN4rF0dxEuIIF-xsYjHgg/edit?usp=sharing"",""งบกองทุน!s63"")"),207560)</f>
        <v>207560</v>
      </c>
      <c r="M280" s="52">
        <f>SUM(M281:M284)</f>
        <v>22760</v>
      </c>
      <c r="N280" s="52">
        <f t="shared" ca="1" si="64"/>
        <v>10.965503950664868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18980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3780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1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IFERROR(__xludf.DUMMYFUNCTION("IMPORTRANGE(""https://docs.google.com/spreadsheets/d/1C3CXT74ZlgGe6_JY_1olB1XN4rF0dxEuIIF-xsYjHgg/edit?usp=sharing"",""งบกองทุน!v63"")"),20)</f>
        <v>20</v>
      </c>
      <c r="J291" s="67">
        <v>0</v>
      </c>
      <c r="K291" s="48">
        <f t="shared" ref="K291:K293" ca="1" si="66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IFERROR(__xludf.DUMMYFUNCTION("IMPORTRANGE(""https://docs.google.com/spreadsheets/d/1C3CXT74ZlgGe6_JY_1olB1XN4rF0dxEuIIF-xsYjHgg/edit?usp=sharing"",""งบกองทุน!w63"")"),200)</f>
        <v>200</v>
      </c>
      <c r="J292" s="67">
        <v>0</v>
      </c>
      <c r="K292" s="48">
        <f t="shared" ca="1" si="66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IFERROR(__xludf.DUMMYFUNCTION("IMPORTRANGE(""https://docs.google.com/spreadsheets/d/1C3CXT74ZlgGe6_JY_1olB1XN4rF0dxEuIIF-xsYjHgg/edit?usp=sharing"",""งบกองทุน!x63"")"),20)</f>
        <v>20</v>
      </c>
      <c r="J293" s="67">
        <v>0</v>
      </c>
      <c r="K293" s="48">
        <f t="shared" ca="1" si="66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195</v>
      </c>
      <c r="J296" s="226">
        <f>J313+J317+J322</f>
        <v>0</v>
      </c>
      <c r="K296" s="227">
        <f t="shared" ref="K296:K297" ca="1" si="67">IF(I296&gt;0,J296*100/I296,0)</f>
        <v>0</v>
      </c>
      <c r="L296" s="228">
        <f t="shared" ref="L296:M296" ca="1" si="68">SUM(L298:L299)</f>
        <v>226530</v>
      </c>
      <c r="M296" s="228">
        <f t="shared" si="68"/>
        <v>30860</v>
      </c>
      <c r="N296" s="228">
        <f ca="1">+IF(L296&gt;0,M296*100/L296,0)</f>
        <v>13.622919701584779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65</v>
      </c>
      <c r="J297" s="226">
        <f ca="1">J311</f>
        <v>0</v>
      </c>
      <c r="K297" s="227">
        <f t="shared" ca="1" si="67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69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0">SUM(L300:L301)</f>
        <v>226530</v>
      </c>
      <c r="M299" s="52">
        <f t="shared" si="70"/>
        <v>30860</v>
      </c>
      <c r="N299" s="52">
        <f t="shared" ca="1" si="69"/>
        <v>13.622919701584779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IFERROR(__xludf.DUMMYFUNCTION("IMPORTRANGE(""https://docs.google.com/spreadsheets/d/1C3CXT74ZlgGe6_JY_1olB1XN4rF0dxEuIIF-xsYjHgg/edit?usp=sharing"",""งบกองทุน!z63"")"),0)</f>
        <v>0</v>
      </c>
      <c r="M300" s="52">
        <v>0</v>
      </c>
      <c r="N300" s="52">
        <f t="shared" ca="1" si="69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IFERROR(__xludf.DUMMYFUNCTION("IMPORTRANGE(""https://docs.google.com/spreadsheets/d/1C3CXT74ZlgGe6_JY_1olB1XN4rF0dxEuIIF-xsYjHgg/edit?usp=sharing"",""งบกองทุน!aa63"")"),226530)</f>
        <v>226530</v>
      </c>
      <c r="M301" s="52">
        <f>SUM(M302:M305)</f>
        <v>30860</v>
      </c>
      <c r="N301" s="52">
        <f t="shared" ca="1" si="69"/>
        <v>13.622919701584779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30860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1">+I312+I316+I321</f>
        <v>65</v>
      </c>
      <c r="J311" s="78">
        <f t="shared" ca="1" si="71"/>
        <v>0</v>
      </c>
      <c r="K311" s="79">
        <f t="shared" ref="K311:K327" ca="1" si="72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IFERROR(__xludf.DUMMYFUNCTION("IMPORTRANGE(""https://docs.google.com/spreadsheets/d/1C3CXT74ZlgGe6_JY_1olB1XN4rF0dxEuIIF-xsYjHgg/edit?usp=sharing"",""งบกองทุน!ae63"")"),30)</f>
        <v>30</v>
      </c>
      <c r="J312" s="366">
        <f ca="1">IF(AND(J314=I314,J315=I315),I314,0)</f>
        <v>0</v>
      </c>
      <c r="K312" s="79">
        <f t="shared" ca="1" si="72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IFERROR(__xludf.DUMMYFUNCTION("IMPORTRANGE(""https://docs.google.com/spreadsheets/d/1C3CXT74ZlgGe6_JY_1olB1XN4rF0dxEuIIF-xsYjHgg/edit?usp=sharing"",""งบกองทุน!ad63"")"),90)</f>
        <v>90</v>
      </c>
      <c r="J313" s="367">
        <v>0</v>
      </c>
      <c r="K313" s="79">
        <f t="shared" ca="1" si="72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IFERROR(__xludf.DUMMYFUNCTION("IMPORTRANGE(""https://docs.google.com/spreadsheets/d/1C3CXT74ZlgGe6_JY_1olB1XN4rF0dxEuIIF-xsYjHgg/edit?usp=sharing"",""งบกองทุน!af63"")"),30)</f>
        <v>30</v>
      </c>
      <c r="J314" s="368">
        <v>0</v>
      </c>
      <c r="K314" s="48">
        <f t="shared" ca="1" si="72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IFERROR(__xludf.DUMMYFUNCTION("IMPORTRANGE(""https://docs.google.com/spreadsheets/d/1C3CXT74ZlgGe6_JY_1olB1XN4rF0dxEuIIF-xsYjHgg/edit?usp=sharing"",""งบกองทุน!ag63"")"),30)</f>
        <v>30</v>
      </c>
      <c r="J315" s="368">
        <v>0</v>
      </c>
      <c r="K315" s="113">
        <f t="shared" ca="1" si="72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IFERROR(__xludf.DUMMYFUNCTION("IMPORTRANGE(""https://docs.google.com/spreadsheets/d/1C3CXT74ZlgGe6_JY_1olB1XN4rF0dxEuIIF-xsYjHgg/edit?usp=sharing"",""งบกองทุน!ai63"")"),25)</f>
        <v>25</v>
      </c>
      <c r="J316" s="366">
        <f ca="1">IF(AND(J318=I318,J319=I319,J320=I320),I318,0)</f>
        <v>0</v>
      </c>
      <c r="K316" s="79">
        <f t="shared" ca="1" si="72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IFERROR(__xludf.DUMMYFUNCTION("IMPORTRANGE(""https://docs.google.com/spreadsheets/d/1C3CXT74ZlgGe6_JY_1olB1XN4rF0dxEuIIF-xsYjHgg/edit?usp=sharing"",""งบกองทุน!ah63"")"),75)</f>
        <v>75</v>
      </c>
      <c r="J317" s="367">
        <v>0</v>
      </c>
      <c r="K317" s="79">
        <f t="shared" ca="1" si="72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IFERROR(__xludf.DUMMYFUNCTION("IMPORTRANGE(""https://docs.google.com/spreadsheets/d/1C3CXT74ZlgGe6_JY_1olB1XN4rF0dxEuIIF-xsYjHgg/edit?usp=sharing"",""งบกองทุน!aj63"")"),25)</f>
        <v>25</v>
      </c>
      <c r="J318" s="368">
        <v>0</v>
      </c>
      <c r="K318" s="48">
        <f t="shared" ca="1" si="72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IFERROR(__xludf.DUMMYFUNCTION("IMPORTRANGE(""https://docs.google.com/spreadsheets/d/1C3CXT74ZlgGe6_JY_1olB1XN4rF0dxEuIIF-xsYjHgg/edit?usp=sharing"",""งบกองทุน!ak63"")"),25)</f>
        <v>25</v>
      </c>
      <c r="J319" s="368">
        <v>0</v>
      </c>
      <c r="K319" s="48">
        <f t="shared" ca="1" si="72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IFERROR(__xludf.DUMMYFUNCTION("IMPORTRANGE(""https://docs.google.com/spreadsheets/d/1C3CXT74ZlgGe6_JY_1olB1XN4rF0dxEuIIF-xsYjHgg/edit?usp=sharing"",""งบกองทุน!al63"")"),25)</f>
        <v>25</v>
      </c>
      <c r="J320" s="368">
        <v>0</v>
      </c>
      <c r="K320" s="48">
        <f t="shared" ca="1" si="72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IFERROR(__xludf.DUMMYFUNCTION("IMPORTRANGE(""https://docs.google.com/spreadsheets/d/1C3CXT74ZlgGe6_JY_1olB1XN4rF0dxEuIIF-xsYjHgg/edit?usp=sharing"",""งบกองทุน!an63"")"),10)</f>
        <v>10</v>
      </c>
      <c r="J321" s="366">
        <f ca="1">IF(AND(J323=I323,J324=I324),I323,0)</f>
        <v>0</v>
      </c>
      <c r="K321" s="79">
        <f t="shared" ca="1" si="72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IFERROR(__xludf.DUMMYFUNCTION("IMPORTRANGE(""https://docs.google.com/spreadsheets/d/1C3CXT74ZlgGe6_JY_1olB1XN4rF0dxEuIIF-xsYjHgg/edit?usp=sharing"",""งบกองทุน!am63"")"),30)</f>
        <v>30</v>
      </c>
      <c r="J322" s="367">
        <v>0</v>
      </c>
      <c r="K322" s="79">
        <f t="shared" ca="1" si="72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IFERROR(__xludf.DUMMYFUNCTION("IMPORTRANGE(""https://docs.google.com/spreadsheets/d/1C3CXT74ZlgGe6_JY_1olB1XN4rF0dxEuIIF-xsYjHgg/edit?usp=sharing"",""งบกองทุน!ao63"")"),10)</f>
        <v>10</v>
      </c>
      <c r="J323" s="368">
        <v>0</v>
      </c>
      <c r="K323" s="48">
        <f t="shared" ca="1" si="72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IFERROR(__xludf.DUMMYFUNCTION("IMPORTRANGE(""https://docs.google.com/spreadsheets/d/1C3CXT74ZlgGe6_JY_1olB1XN4rF0dxEuIIF-xsYjHgg/edit?usp=sharing"",""งบกองทุน!ap63"")"),10)</f>
        <v>10</v>
      </c>
      <c r="J324" s="368">
        <v>0</v>
      </c>
      <c r="K324" s="48">
        <f t="shared" ca="1" si="72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55</v>
      </c>
      <c r="J325" s="366">
        <f ca="1">IF(AND(J326=I326,J327=I327),I325,0)</f>
        <v>0</v>
      </c>
      <c r="K325" s="79">
        <f t="shared" ca="1" si="72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IFERROR(__xludf.DUMMYFUNCTION("IMPORTRANGE(""https://docs.google.com/spreadsheets/d/1C3CXT74ZlgGe6_JY_1olB1XN4rF0dxEuIIF-xsYjHgg/edit?usp=sharing"",""งบกองทุน!ar63"")"),30)</f>
        <v>30</v>
      </c>
      <c r="J326" s="368">
        <v>0</v>
      </c>
      <c r="K326" s="48">
        <f t="shared" ca="1" si="72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IFERROR(__xludf.DUMMYFUNCTION("IMPORTRANGE(""https://docs.google.com/spreadsheets/d/1C3CXT74ZlgGe6_JY_1olB1XN4rF0dxEuIIF-xsYjHgg/edit?usp=sharing"",""งบกองทุน!as63"")"),25)</f>
        <v>25</v>
      </c>
      <c r="J327" s="368">
        <v>0</v>
      </c>
      <c r="K327" s="48">
        <f t="shared" ca="1" si="72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3">SUM(L331:L332)</f>
        <v>83000</v>
      </c>
      <c r="M330" s="259">
        <f t="shared" si="73"/>
        <v>58040</v>
      </c>
      <c r="N330" s="259">
        <f t="shared" ref="N330:N334" ca="1" si="74">+IF(L330&gt;0,M330*100/L330,0)</f>
        <v>69.92771084337349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4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5">SUM(L333:L334)</f>
        <v>83000</v>
      </c>
      <c r="M332" s="52">
        <f t="shared" si="75"/>
        <v>58040</v>
      </c>
      <c r="N332" s="52">
        <f t="shared" ca="1" si="74"/>
        <v>69.92771084337349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IFERROR(__xludf.DUMMYFUNCTION("IMPORTRANGE(""https://docs.google.com/spreadsheets/d/1C3CXT74ZlgGe6_JY_1olB1XN4rF0dxEuIIF-xsYjHgg/edit?usp=sharing"",""งบกองทุน!au63"")"),0)</f>
        <v>0</v>
      </c>
      <c r="M333" s="52">
        <v>0</v>
      </c>
      <c r="N333" s="52">
        <f t="shared" ca="1" si="74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IFERROR(__xludf.DUMMYFUNCTION("IMPORTRANGE(""https://docs.google.com/spreadsheets/d/1C3CXT74ZlgGe6_JY_1olB1XN4rF0dxEuIIF-xsYjHgg/edit?usp=sharing"",""งบกองทุน!av63"")"),83000)</f>
        <v>83000</v>
      </c>
      <c r="M334" s="52">
        <f>SUM(M335:M338)</f>
        <v>58040</v>
      </c>
      <c r="N334" s="52">
        <f t="shared" ca="1" si="74"/>
        <v>69.92771084337349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32200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25840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6">+I345+I346+I347</f>
        <v>15</v>
      </c>
      <c r="J344" s="78">
        <f t="shared" si="76"/>
        <v>0</v>
      </c>
      <c r="K344" s="48">
        <f t="shared" ref="K344:K347" ca="1" si="77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IFERROR(__xludf.DUMMYFUNCTION("IMPORTRANGE(""https://docs.google.com/spreadsheets/d/1C3CXT74ZlgGe6_JY_1olB1XN4rF0dxEuIIF-xsYjHgg/edit?usp=sharing"",""งบกองทุน!ay63"")"),15)</f>
        <v>15</v>
      </c>
      <c r="J345" s="67">
        <v>0</v>
      </c>
      <c r="K345" s="48">
        <f t="shared" ca="1" si="77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IFERROR(__xludf.DUMMYFUNCTION("IMPORTRANGE(""https://docs.google.com/spreadsheets/d/1C3CXT74ZlgGe6_JY_1olB1XN4rF0dxEuIIF-xsYjHgg/edit?usp=sharing"",""งบกองทุน!az63"")"),0)</f>
        <v>0</v>
      </c>
      <c r="J346" s="66">
        <v>0</v>
      </c>
      <c r="K346" s="48">
        <f t="shared" ca="1" si="77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IFERROR(__xludf.DUMMYFUNCTION("IMPORTRANGE(""https://docs.google.com/spreadsheets/d/1C3CXT74ZlgGe6_JY_1olB1XN4rF0dxEuIIF-xsYjHgg/edit?usp=sharing"",""งบกองทุน!Ba63"")"),0)</f>
        <v>0</v>
      </c>
      <c r="J347" s="66">
        <v>0</v>
      </c>
      <c r="K347" s="48">
        <f t="shared" ca="1" si="77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5880</v>
      </c>
      <c r="J350" s="226">
        <f>+J359</f>
        <v>0</v>
      </c>
      <c r="K350" s="227">
        <f ca="1">IF(I350&gt;0,J350*100/I350,0)</f>
        <v>0</v>
      </c>
      <c r="L350" s="228">
        <f t="shared" ref="L350:M350" ca="1" si="78">SUM(L351:L352)</f>
        <v>98174</v>
      </c>
      <c r="M350" s="228">
        <f t="shared" si="78"/>
        <v>3520</v>
      </c>
      <c r="N350" s="228">
        <f t="shared" ref="N350:N354" ca="1" si="79">+IF(L350&gt;0,M350*100/L350,0)</f>
        <v>3.585470694888667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79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0">SUM(L353:L354)</f>
        <v>98174</v>
      </c>
      <c r="M352" s="52">
        <f t="shared" si="80"/>
        <v>3520</v>
      </c>
      <c r="N352" s="52">
        <f t="shared" ca="1" si="79"/>
        <v>3.585470694888667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IFERROR(__xludf.DUMMYFUNCTION("IMPORTRANGE(""https://docs.google.com/spreadsheets/d/1C3CXT74ZlgGe6_JY_1olB1XN4rF0dxEuIIF-xsYjHgg/edit?usp=sharing"",""งบกองทุน!Bc63"")"),0)</f>
        <v>0</v>
      </c>
      <c r="M353" s="52">
        <v>0</v>
      </c>
      <c r="N353" s="52">
        <f t="shared" ca="1" si="79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IFERROR(__xludf.DUMMYFUNCTION("IMPORTRANGE(""https://docs.google.com/spreadsheets/d/1C3CXT74ZlgGe6_JY_1olB1XN4rF0dxEuIIF-xsYjHgg/edit?usp=sharing"",""งบกองทุน!Bd63"")"),98174)</f>
        <v>98174</v>
      </c>
      <c r="M354" s="52">
        <f>SUM(M355:M358)</f>
        <v>3520</v>
      </c>
      <c r="N354" s="52">
        <f t="shared" ca="1" si="79"/>
        <v>3.585470694888667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3520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IFERROR(__xludf.DUMMYFUNCTION("IMPORTRANGE(""https://docs.google.com/spreadsheets/d/1C3CXT74ZlgGe6_JY_1olB1XN4rF0dxEuIIF-xsYjHgg/edit?usp=sharing"",""งบกองทุน!BE63"")"),5880)</f>
        <v>5880</v>
      </c>
      <c r="J359" s="136">
        <f>+J376</f>
        <v>0</v>
      </c>
      <c r="K359" s="137">
        <f t="shared" ref="K359:K408" ca="1" si="81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IFERROR(__xludf.DUMMYFUNCTION("IMPORTRANGE(""https://docs.google.com/spreadsheets/d/1C3CXT74ZlgGe6_JY_1olB1XN4rF0dxEuIIF-xsYjHgg/edit?usp=sharing"",""งบกองทุน!BE63"")"),5880)</f>
        <v>5880</v>
      </c>
      <c r="J360" s="265">
        <f t="shared" ref="J360:J361" si="82">+J362+J364+J366</f>
        <v>0</v>
      </c>
      <c r="K360" s="79">
        <f t="shared" ca="1" si="81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IFERROR(__xludf.DUMMYFUNCTION("IMPORTRANGE(""https://docs.google.com/spreadsheets/d/1C3CXT74ZlgGe6_JY_1olB1XN4rF0dxEuIIF-xsYjHgg/edit?usp=sharing"",""งบกองทุน!Bf63"")"),321)</f>
        <v>321</v>
      </c>
      <c r="J361" s="265">
        <f t="shared" si="82"/>
        <v>0</v>
      </c>
      <c r="K361" s="79">
        <f t="shared" ca="1" si="81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1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1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1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1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1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1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5880</v>
      </c>
      <c r="J368" s="265">
        <f t="shared" ref="J368:J369" si="83">+J370+J372+J374</f>
        <v>0</v>
      </c>
      <c r="K368" s="79">
        <f t="shared" ca="1" si="81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321</v>
      </c>
      <c r="J369" s="265">
        <f t="shared" si="83"/>
        <v>0</v>
      </c>
      <c r="K369" s="48">
        <f t="shared" ca="1" si="81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1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1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1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1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1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1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5880</v>
      </c>
      <c r="J376" s="265">
        <f t="shared" ref="J376:J377" si="84">+J378+J380+J382+J388</f>
        <v>0</v>
      </c>
      <c r="K376" s="79">
        <f t="shared" ca="1" si="81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265">
        <f ca="1">I361</f>
        <v>321</v>
      </c>
      <c r="J377" s="265">
        <f t="shared" si="84"/>
        <v>0</v>
      </c>
      <c r="K377" s="48">
        <f t="shared" ca="1" si="81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1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1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1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1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5">J384+J386</f>
        <v>0</v>
      </c>
      <c r="K382" s="48">
        <f t="shared" si="81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5"/>
        <v>0</v>
      </c>
      <c r="K383" s="48">
        <f t="shared" si="81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1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1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1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1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1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1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IFERROR(__xludf.DUMMYFUNCTION("IMPORTRANGE(""https://docs.google.com/spreadsheets/d/1C3CXT74ZlgGe6_JY_1olB1XN4rF0dxEuIIF-xsYjHgg/edit?usp=sharing"",""งบกองทุน!cd63"")"),116)</f>
        <v>116</v>
      </c>
      <c r="J390" s="136">
        <f>J391</f>
        <v>0</v>
      </c>
      <c r="K390" s="137">
        <f t="shared" ca="1" si="81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IFERROR(__xludf.DUMMYFUNCTION("IMPORTRANGE(""https://docs.google.com/spreadsheets/d/1C3CXT74ZlgGe6_JY_1olB1XN4rF0dxEuIIF-xsYjHgg/edit?usp=sharing"",""งบกองทุน!cd63"")"),116)</f>
        <v>116</v>
      </c>
      <c r="J391" s="265">
        <f t="shared" ref="J391:J392" si="86">J393+J401+J407</f>
        <v>0</v>
      </c>
      <c r="K391" s="48">
        <f t="shared" ca="1" si="81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IFERROR(__xludf.DUMMYFUNCTION("IMPORTRANGE(""https://docs.google.com/spreadsheets/d/1C3CXT74ZlgGe6_JY_1olB1XN4rF0dxEuIIF-xsYjHgg/edit?usp=sharing"",""งบกองทุน!cc63"")"),6)</f>
        <v>6</v>
      </c>
      <c r="J392" s="265">
        <f t="shared" si="86"/>
        <v>0</v>
      </c>
      <c r="K392" s="79">
        <f t="shared" ca="1" si="81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7">J395+J397+J399</f>
        <v>0</v>
      </c>
      <c r="K393" s="48">
        <f t="shared" si="81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7"/>
        <v>0</v>
      </c>
      <c r="K394" s="48">
        <f t="shared" si="81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1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1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1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1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1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1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8">+J403+J405</f>
        <v>0</v>
      </c>
      <c r="K401" s="48">
        <f t="shared" si="81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8"/>
        <v>0</v>
      </c>
      <c r="K402" s="48">
        <f t="shared" si="81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1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1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1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1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1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1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IFERROR(__xludf.DUMMYFUNCTION("IMPORTRANGE(""https://docs.google.com/spreadsheets/d/1C3CXT74ZlgGe6_JY_1olB1XN4rF0dxEuIIF-xsYjHgg/edit?usp=sharing"",""งบกองทุน!cz63"")"),0)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IFERROR(__xludf.DUMMYFUNCTION("IMPORTRANGE(""https://docs.google.com/spreadsheets/d/1C3CXT74ZlgGe6_JY_1olB1XN4rF0dxEuIIF-xsYjHgg/edit?usp=sharing"",""งบกองทุน!cz63"")"),0)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IFERROR(__xludf.DUMMYFUNCTION("IMPORTRANGE(""https://docs.google.com/spreadsheets/d/1C3CXT74ZlgGe6_JY_1olB1XN4rF0dxEuIIF-xsYjHgg/edit?usp=sharing"",""งบกองทุน!cy63"")"),0)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IFERROR(__xludf.DUMMYFUNCTION("IMPORTRANGE(""https://docs.google.com/spreadsheets/d/1C3CXT74ZlgGe6_JY_1olB1XN4rF0dxEuIIF-xsYjHgg/edit?usp=sharing"",""งบกองทุน!db63"")"),0)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IFERROR(__xludf.DUMMYFUNCTION("IMPORTRANGE(""https://docs.google.com/spreadsheets/d/1C3CXT74ZlgGe6_JY_1olB1XN4rF0dxEuIIF-xsYjHgg/edit?usp=sharing"",""งบกองทุน!da63"")"),0)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IFERROR(__xludf.DUMMYFUNCTION("IMPORTRANGE(""https://docs.google.com/spreadsheets/d/1C3CXT74ZlgGe6_JY_1olB1XN4rF0dxEuIIF-xsYjHgg/edit?usp=sharing"",""งบกองทุน!dd63"")"),0)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IFERROR(__xludf.DUMMYFUNCTION("IMPORTRANGE(""https://docs.google.com/spreadsheets/d/1C3CXT74ZlgGe6_JY_1olB1XN4rF0dxEuIIF-xsYjHgg/edit?usp=sharing"",""งบกองทุน!dc63"")"),0)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IFERROR(__xludf.DUMMYFUNCTION("IMPORTRANGE(""https://docs.google.com/spreadsheets/d/1C3CXT74ZlgGe6_JY_1olB1XN4rF0dxEuIIF-xsYjHgg/edit?usp=sharing"",""งบกองทุน!df63"")"),0)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IFERROR(__xludf.DUMMYFUNCTION("IMPORTRANGE(""https://docs.google.com/spreadsheets/d/1C3CXT74ZlgGe6_JY_1olB1XN4rF0dxEuIIF-xsYjHgg/edit?usp=sharing"",""งบกองทุน!de63"")"),0)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89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89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0">I440</f>
        <v>22</v>
      </c>
      <c r="J426" s="257">
        <f t="shared" si="90"/>
        <v>0</v>
      </c>
      <c r="K426" s="258">
        <f ca="1">IF(I426&gt;0,J426*100/I426,0)</f>
        <v>0</v>
      </c>
      <c r="L426" s="259">
        <f t="shared" ref="L426:M426" ca="1" si="91">SUM(L427:L428)</f>
        <v>34340</v>
      </c>
      <c r="M426" s="259">
        <f t="shared" si="91"/>
        <v>19100</v>
      </c>
      <c r="N426" s="259">
        <f t="shared" ref="N426:N430" ca="1" si="92">+IF(L426&gt;0,M426*100/L426,0)</f>
        <v>55.620267909143855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2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3">SUM(L429:L430)</f>
        <v>34340</v>
      </c>
      <c r="M428" s="52">
        <f t="shared" si="93"/>
        <v>19100</v>
      </c>
      <c r="N428" s="52">
        <f t="shared" ca="1" si="92"/>
        <v>55.620267909143855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IFERROR(__xludf.DUMMYFUNCTION("IMPORTRANGE(""https://docs.google.com/spreadsheets/d/1C3CXT74ZlgGe6_JY_1olB1XN4rF0dxEuIIF-xsYjHgg/edit?usp=sharing"",""งบกองทุน!dn63"")"),0)</f>
        <v>0</v>
      </c>
      <c r="M429" s="52">
        <v>0</v>
      </c>
      <c r="N429" s="52">
        <f t="shared" ca="1" si="92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IFERROR(__xludf.DUMMYFUNCTION("IMPORTRANGE(""https://docs.google.com/spreadsheets/d/1C3CXT74ZlgGe6_JY_1olB1XN4rF0dxEuIIF-xsYjHgg/edit?usp=sharing"",""งบกองทุน!do63"")"),34340)</f>
        <v>34340</v>
      </c>
      <c r="M430" s="52">
        <f>SUM(M431:M434)</f>
        <v>19100</v>
      </c>
      <c r="N430" s="52">
        <f t="shared" ca="1" si="92"/>
        <v>55.620267909143855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18740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360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IFERROR(__xludf.DUMMYFUNCTION("IMPORTRANGE(""https://docs.google.com/spreadsheets/d/1C3CXT74ZlgGe6_JY_1olB1XN4rF0dxEuIIF-xsYjHgg/edit?usp=sharing"",""งบกองทุน!dq63"")"),22)</f>
        <v>22</v>
      </c>
      <c r="J440" s="67">
        <v>0</v>
      </c>
      <c r="K440" s="48">
        <f t="shared" ref="K440:K441" ca="1" si="94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IFERROR(__xludf.DUMMYFUNCTION("IMPORTRANGE(""https://docs.google.com/spreadsheets/d/1C3CXT74ZlgGe6_JY_1olB1XN4rF0dxEuIIF-xsYjHgg/edit?usp=sharing"",""งบกองทุน!dr63"")"),22)</f>
        <v>22</v>
      </c>
      <c r="J441" s="67">
        <v>0</v>
      </c>
      <c r="K441" s="48">
        <f t="shared" ca="1" si="94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5">SUM(I453,I455)</f>
        <v>0</v>
      </c>
      <c r="J444" s="257">
        <f t="shared" si="95"/>
        <v>0</v>
      </c>
      <c r="K444" s="258">
        <f ca="1">IF(I444&gt;0,J444*100/I444,0)</f>
        <v>0</v>
      </c>
      <c r="L444" s="259">
        <f t="shared" ref="L444:M444" ca="1" si="96">SUM(L445:L446)</f>
        <v>0</v>
      </c>
      <c r="M444" s="259">
        <f t="shared" si="96"/>
        <v>0</v>
      </c>
      <c r="N444" s="259">
        <f t="shared" ref="N444:N448" ca="1" si="97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7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8">SUM(L447:L448)</f>
        <v>0</v>
      </c>
      <c r="M446" s="52">
        <f t="shared" si="98"/>
        <v>0</v>
      </c>
      <c r="N446" s="52">
        <f t="shared" ca="1" si="97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IFERROR(__xludf.DUMMYFUNCTION("IMPORTRANGE(""https://docs.google.com/spreadsheets/d/1C3CXT74ZlgGe6_JY_1olB1XN4rF0dxEuIIF-xsYjHgg/edit?usp=sharing"",""งบกองทุน!dt63"")"),0)</f>
        <v>0</v>
      </c>
      <c r="M447" s="52">
        <v>0</v>
      </c>
      <c r="N447" s="52">
        <f t="shared" ca="1" si="97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IFERROR(__xludf.DUMMYFUNCTION("IMPORTRANGE(""https://docs.google.com/spreadsheets/d/1C3CXT74ZlgGe6_JY_1olB1XN4rF0dxEuIIF-xsYjHgg/edit?usp=sharing"",""งบกองทุน!du63"")"),0)</f>
        <v>0</v>
      </c>
      <c r="M448" s="52">
        <f>SUM(M449:M452)</f>
        <v>0</v>
      </c>
      <c r="N448" s="52">
        <f t="shared" ca="1" si="97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IFERROR(__xludf.DUMMYFUNCTION("IMPORTRANGE(""https://docs.google.com/spreadsheets/d/1C3CXT74ZlgGe6_JY_1olB1XN4rF0dxEuIIF-xsYjHgg/edit?usp=sharing"",""งบกองทุน!dw63"")"),0)</f>
        <v>0</v>
      </c>
      <c r="J453" s="66">
        <v>0</v>
      </c>
      <c r="K453" s="232">
        <f t="shared" ref="K453:K457" ca="1" si="99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IFERROR(__xludf.DUMMYFUNCTION("IMPORTRANGE(""https://docs.google.com/spreadsheets/d/1C3CXT74ZlgGe6_JY_1olB1XN4rF0dxEuIIF-xsYjHgg/edit?usp=sharing"",""งบกองทุน!dx63"")"),0)</f>
        <v>0</v>
      </c>
      <c r="J454" s="66">
        <v>0</v>
      </c>
      <c r="K454" s="232">
        <f t="shared" ca="1" si="99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IFERROR(__xludf.DUMMYFUNCTION("IMPORTRANGE(""https://docs.google.com/spreadsheets/d/1C3CXT74ZlgGe6_JY_1olB1XN4rF0dxEuIIF-xsYjHgg/edit?usp=sharing"",""งบกองทุน!dy63"")"),0)</f>
        <v>0</v>
      </c>
      <c r="J455" s="66">
        <v>0</v>
      </c>
      <c r="K455" s="48">
        <f t="shared" ca="1" si="99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IFERROR(__xludf.DUMMYFUNCTION("IMPORTRANGE(""https://docs.google.com/spreadsheets/d/1C3CXT74ZlgGe6_JY_1olB1XN4rF0dxEuIIF-xsYjHgg/edit?usp=sharing"",""งบกองทุน!dz63"")"),0)</f>
        <v>0</v>
      </c>
      <c r="J456" s="66">
        <v>0</v>
      </c>
      <c r="K456" s="48">
        <f t="shared" ca="1" si="99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200</v>
      </c>
      <c r="J457" s="226">
        <f>+J466</f>
        <v>155</v>
      </c>
      <c r="K457" s="227">
        <f t="shared" ca="1" si="99"/>
        <v>77.5</v>
      </c>
      <c r="L457" s="228">
        <f t="shared" ref="L457:M457" ca="1" si="100">SUM(L458:L459)</f>
        <v>124800</v>
      </c>
      <c r="M457" s="228">
        <f t="shared" si="100"/>
        <v>11000</v>
      </c>
      <c r="N457" s="228">
        <f t="shared" ref="N457:N461" ca="1" si="101">+IF(L457&gt;0,M457*100/L457,0)</f>
        <v>8.8141025641025639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1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2">SUM(L460:L461)</f>
        <v>124800</v>
      </c>
      <c r="M459" s="52">
        <f t="shared" si="102"/>
        <v>11000</v>
      </c>
      <c r="N459" s="52">
        <f t="shared" ca="1" si="101"/>
        <v>8.8141025641025639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IFERROR(__xludf.DUMMYFUNCTION("IMPORTRANGE(""https://docs.google.com/spreadsheets/d/1C3CXT74ZlgGe6_JY_1olB1XN4rF0dxEuIIF-xsYjHgg/edit?usp=sharing"",""งบกองทุน!Eb63"")"),0)</f>
        <v>0</v>
      </c>
      <c r="M460" s="52">
        <v>0</v>
      </c>
      <c r="N460" s="52">
        <f t="shared" ca="1" si="101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IFERROR(__xludf.DUMMYFUNCTION("IMPORTRANGE(""https://docs.google.com/spreadsheets/d/1C3CXT74ZlgGe6_JY_1olB1XN4rF0dxEuIIF-xsYjHgg/edit?usp=sharing"",""งบกองทุน!Ec63"")"),124800)</f>
        <v>124800</v>
      </c>
      <c r="M461" s="52">
        <f>SUM(M462:M465)</f>
        <v>11000</v>
      </c>
      <c r="N461" s="52">
        <f t="shared" ca="1" si="101"/>
        <v>8.8141025641025639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11000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IFERROR(__xludf.DUMMYFUNCTION("IMPORTRANGE(""https://docs.google.com/spreadsheets/d/1C3CXT74ZlgGe6_JY_1olB1XN4rF0dxEuIIF-xsYjHgg/edit?usp=sharing"",""งบกองทุน!Ed63"")"),200)</f>
        <v>200</v>
      </c>
      <c r="J466" s="265">
        <f>+J469+J470+J471+J472</f>
        <v>155</v>
      </c>
      <c r="K466" s="79">
        <f ca="1">IF(I466&gt;0,J466*100/I466,0)</f>
        <v>77.5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3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3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155</v>
      </c>
      <c r="K470" s="48">
        <f t="shared" si="103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3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3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4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4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5">SUM(L476:L477)</f>
        <v>0</v>
      </c>
      <c r="M475" s="52">
        <f t="shared" si="105"/>
        <v>0</v>
      </c>
      <c r="N475" s="52">
        <f t="shared" ca="1" si="104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IFERROR(__xludf.DUMMYFUNCTION("IMPORTRANGE(""https://docs.google.com/spreadsheets/d/1C3CXT74ZlgGe6_JY_1olB1XN4rF0dxEuIIF-xsYjHgg/edit?usp=sharing"",""งบกองทุน!Ek63"")"),0)</f>
        <v>0</v>
      </c>
      <c r="M476" s="52">
        <v>0</v>
      </c>
      <c r="N476" s="52">
        <f t="shared" ca="1" si="104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IFERROR(__xludf.DUMMYFUNCTION("IMPORTRANGE(""https://docs.google.com/spreadsheets/d/1C3CXT74ZlgGe6_JY_1olB1XN4rF0dxEuIIF-xsYjHgg/edit?usp=sharing"",""งบกองทุน!El63"")"),0)</f>
        <v>0</v>
      </c>
      <c r="M477" s="52">
        <f>SUM(M478:M481)</f>
        <v>0</v>
      </c>
      <c r="N477" s="52">
        <f t="shared" ca="1" si="104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IFERROR(__xludf.DUMMYFUNCTION("IMPORTRANGE(""https://docs.google.com/spreadsheets/d/1C3CXT74ZlgGe6_JY_1olB1XN4rF0dxEuIIF-xsYjHgg/edit?usp=sharing"",""งบกองทุน!Em63"")"),0)</f>
        <v>0</v>
      </c>
      <c r="J482" s="66">
        <f ca="1">IFERROR(__xludf.DUMMYFUNCTION("IMPORTRANGE(""https://docs.google.com/spreadsheets/d/1AGHcLOeeYFL3K4b9R1dSzyJy00PE_ra89DNTVfnxSWM/edit?usp=sharing"",""รวมที่ชุมชน!G52"")"),0)</f>
        <v>0</v>
      </c>
      <c r="K482" s="48">
        <f t="shared" ref="K482:K489" ca="1" si="106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IFERROR(__xludf.DUMMYFUNCTION("IMPORTRANGE(""https://docs.google.com/spreadsheets/d/1C3CXT74ZlgGe6_JY_1olB1XN4rF0dxEuIIF-xsYjHgg/edit?usp=sharing"",""งบกองทุน!En63"")"),0)</f>
        <v>0</v>
      </c>
      <c r="J483" s="66">
        <f ca="1">IFERROR(__xludf.DUMMYFUNCTION("IMPORTRANGE(""https://docs.google.com/spreadsheets/d/1AGHcLOeeYFL3K4b9R1dSzyJy00PE_ra89DNTVfnxSWM/edit?usp=sharing"",""รวมที่ชุมชน!H52"")"),0)</f>
        <v>0</v>
      </c>
      <c r="K483" s="200">
        <f t="shared" ca="1" si="106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IFERROR(__xludf.DUMMYFUNCTION("IMPORTRANGE(""https://docs.google.com/spreadsheets/d/1C3CXT74ZlgGe6_JY_1olB1XN4rF0dxEuIIF-xsYjHgg/edit?usp=sharing"",""งบกองทุน!Eo63"")"),0)</f>
        <v>0</v>
      </c>
      <c r="J484" s="66">
        <f ca="1">IFERROR(__xludf.DUMMYFUNCTION("IMPORTRANGE(""https://docs.google.com/spreadsheets/d/1AGHcLOeeYFL3K4b9R1dSzyJy00PE_ra89DNTVfnxSWM/edit?usp=sharing"",""รวมที่ชุมชน!J52"")"),0)</f>
        <v>0</v>
      </c>
      <c r="K484" s="48">
        <f t="shared" ca="1" si="106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IFERROR(__xludf.DUMMYFUNCTION("IMPORTRANGE(""https://docs.google.com/spreadsheets/d/1C3CXT74ZlgGe6_JY_1olB1XN4rF0dxEuIIF-xsYjHgg/edit?usp=sharing"",""งบกองทุน!Ep63"")"),0)</f>
        <v>0</v>
      </c>
      <c r="J485" s="66">
        <f ca="1">IFERROR(__xludf.DUMMYFUNCTION("IMPORTRANGE(""https://docs.google.com/spreadsheets/d/1AGHcLOeeYFL3K4b9R1dSzyJy00PE_ra89DNTVfnxSWM/edit?usp=sharing"",""รวมที่ชุมชน!L52"")"),0)</f>
        <v>0</v>
      </c>
      <c r="K485" s="200">
        <f t="shared" ca="1" si="106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IFERROR(__xludf.DUMMYFUNCTION("IMPORTRANGE(""https://docs.google.com/spreadsheets/d/1C3CXT74ZlgGe6_JY_1olB1XN4rF0dxEuIIF-xsYjHgg/edit?usp=sharing"",""งบกองทุน!Eq63"")"),0)</f>
        <v>0</v>
      </c>
      <c r="J486" s="66">
        <f ca="1">IFERROR(__xludf.DUMMYFUNCTION("IMPORTRANGE(""https://docs.google.com/spreadsheets/d/1AGHcLOeeYFL3K4b9R1dSzyJy00PE_ra89DNTVfnxSWM/edit?usp=sharing"",""รวมที่ชุมชน!S52"")"),0)</f>
        <v>0</v>
      </c>
      <c r="K486" s="48">
        <f t="shared" ca="1" si="106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IFERROR(__xludf.DUMMYFUNCTION("IMPORTRANGE(""https://docs.google.com/spreadsheets/d/1C3CXT74ZlgGe6_JY_1olB1XN4rF0dxEuIIF-xsYjHgg/edit?usp=sharing"",""งบกองทุน!Er63"")"),0)</f>
        <v>0</v>
      </c>
      <c r="J487" s="66">
        <f ca="1">IFERROR(__xludf.DUMMYFUNCTION("IMPORTRANGE(""https://docs.google.com/spreadsheets/d/1AGHcLOeeYFL3K4b9R1dSzyJy00PE_ra89DNTVfnxSWM/edit?usp=sharing"",""รวมที่ชุมชน!U52"")"),0)</f>
        <v>0</v>
      </c>
      <c r="K487" s="200">
        <f t="shared" ca="1" si="106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IFERROR(__xludf.DUMMYFUNCTION("IMPORTRANGE(""https://docs.google.com/spreadsheets/d/1C3CXT74ZlgGe6_JY_1olB1XN4rF0dxEuIIF-xsYjHgg/edit?usp=sharing"",""งบกองทุน!Es63"")"),0)</f>
        <v>0</v>
      </c>
      <c r="J488" s="66">
        <f ca="1">IFERROR(__xludf.DUMMYFUNCTION("IMPORTRANGE(""https://docs.google.com/spreadsheets/d/1AGHcLOeeYFL3K4b9R1dSzyJy00PE_ra89DNTVfnxSWM/edit?usp=sharing"",""รวมที่ชุมชน!V52"")"),0)</f>
        <v>0</v>
      </c>
      <c r="K488" s="48">
        <f t="shared" ca="1" si="106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IFERROR(__xludf.DUMMYFUNCTION("IMPORTRANGE(""https://docs.google.com/spreadsheets/d/1C3CXT74ZlgGe6_JY_1olB1XN4rF0dxEuIIF-xsYjHgg/edit?usp=sharing"",""งบกองทุน!Et63"")"),0)</f>
        <v>0</v>
      </c>
      <c r="J489" s="111">
        <f ca="1">IFERROR(__xludf.DUMMYFUNCTION("IMPORTRANGE(""https://docs.google.com/spreadsheets/d/1AGHcLOeeYFL3K4b9R1dSzyJy00PE_ra89DNTVfnxSWM/edit?usp=sharing"",""รวมที่ชุมชน!X52"")"),0)</f>
        <v>0</v>
      </c>
      <c r="K489" s="347">
        <f t="shared" ca="1" si="106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7">I504</f>
        <v>50</v>
      </c>
      <c r="J490" s="303">
        <f t="shared" si="107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500</v>
      </c>
      <c r="N490" s="259">
        <f t="shared" ref="N490:N494" ca="1" si="108">+IF(L490&gt;0,M490*100/L490,0)</f>
        <v>10.989010989010989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8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09">SUM(L493:L494)</f>
        <v>4550</v>
      </c>
      <c r="M492" s="52">
        <f t="shared" si="109"/>
        <v>500</v>
      </c>
      <c r="N492" s="52">
        <f t="shared" ca="1" si="108"/>
        <v>10.989010989010989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IFERROR(__xludf.DUMMYFUNCTION("IMPORTRANGE(""https://docs.google.com/spreadsheets/d/1C3CXT74ZlgGe6_JY_1olB1XN4rF0dxEuIIF-xsYjHgg/edit?usp=sharing"",""งบกองทุน!Ev63"")"),0)</f>
        <v>0</v>
      </c>
      <c r="M493" s="52">
        <v>0</v>
      </c>
      <c r="N493" s="52">
        <f t="shared" ca="1" si="108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IFERROR(__xludf.DUMMYFUNCTION("IMPORTRANGE(""https://docs.google.com/spreadsheets/d/1C3CXT74ZlgGe6_JY_1olB1XN4rF0dxEuIIF-xsYjHgg/edit?usp=sharing"",""งบกองทุน!Ew63"")"),4550)</f>
        <v>4550</v>
      </c>
      <c r="M494" s="52">
        <f>SUM(M495:M498)</f>
        <v>500</v>
      </c>
      <c r="N494" s="52">
        <f t="shared" ca="1" si="108"/>
        <v>10.989010989010989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500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IFERROR(__xludf.DUMMYFUNCTION("IMPORTRANGE(""https://docs.google.com/spreadsheets/d/1C3CXT74ZlgGe6_JY_1olB1XN4rF0dxEuIIF-xsYjHgg/edit?usp=sharing"",""งบกองทุน!EZ63"")"),50)</f>
        <v>50</v>
      </c>
      <c r="J504" s="47">
        <f>+J510</f>
        <v>0</v>
      </c>
      <c r="K504" s="48">
        <f t="shared" ref="K504:K512" ca="1" si="110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0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0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0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0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0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1">I511+I512</f>
        <v>0</v>
      </c>
      <c r="J510" s="66">
        <f t="shared" si="111"/>
        <v>0</v>
      </c>
      <c r="K510" s="48">
        <f t="shared" ca="1" si="110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0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0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IFERROR(__xludf.DUMMYFUNCTION("IMPORTRANGE(""https://docs.google.com/spreadsheets/d/1C3CXT74ZlgGe6_JY_1olB1XN4rF0dxEuIIF-xsYjHgg/edit?usp=sharing"",""งบกองทุน!ff63"")"),0)</f>
        <v>0</v>
      </c>
      <c r="J513" s="47">
        <f>J514</f>
        <v>0</v>
      </c>
      <c r="K513" s="48">
        <f t="shared" ref="K513:K519" ca="1" si="112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3">I515+I516</f>
        <v>0</v>
      </c>
      <c r="J514" s="47">
        <f t="shared" si="113"/>
        <v>0</v>
      </c>
      <c r="K514" s="48">
        <f t="shared" ca="1" si="112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2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2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4">SUM(I518:I519)</f>
        <v>0</v>
      </c>
      <c r="J517" s="66">
        <f t="shared" si="114"/>
        <v>0</v>
      </c>
      <c r="K517" s="48">
        <f t="shared" ca="1" si="112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2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2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IFERROR(__xludf.DUMMYFUNCTION("IMPORTRANGE(""https://docs.google.com/spreadsheets/d/1muirlRDkqiswvy_NRZ3Yh955hx-PF6_HhssUYiSJj8o/edit?usp=sharing"",""กองทุน!D63"")"),2596068.98999999)</f>
        <v>2596068.98999999</v>
      </c>
      <c r="J521" s="199">
        <f ca="1">IFERROR(__xludf.DUMMYFUNCTION("IMPORTRANGE(""https://docs.google.com/spreadsheets/d/1muirlRDkqiswvy_NRZ3Yh955hx-PF6_HhssUYiSJj8o/edit?usp=sharing"",""กองทุน!F63"")"),3707.88)</f>
        <v>3707.88</v>
      </c>
      <c r="K521" s="200">
        <f t="shared" ref="K521:K528" ca="1" si="115">IF(I521&gt;0,J521*100/I521,0)</f>
        <v>0.14282671278316122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IFERROR(__xludf.DUMMYFUNCTION("IMPORTRANGE(""https://docs.google.com/spreadsheets/d/1muirlRDkqiswvy_NRZ3Yh955hx-PF6_HhssUYiSJj8o/edit?usp=sharing"",""กองทุน!C63"")"),200)</f>
        <v>200</v>
      </c>
      <c r="J522" s="199">
        <f ca="1">IFERROR(__xludf.DUMMYFUNCTION("IMPORTRANGE(""https://docs.google.com/spreadsheets/d/1muirlRDkqiswvy_NRZ3Yh955hx-PF6_HhssUYiSJj8o/edit?usp=sharing"",""กองทุน!E63"")"),4)</f>
        <v>4</v>
      </c>
      <c r="K522" s="200">
        <f t="shared" ca="1" si="115"/>
        <v>2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IFERROR(__xludf.DUMMYFUNCTION("IMPORTRANGE(""https://docs.google.com/spreadsheets/d/1muirlRDkqiswvy_NRZ3Yh955hx-PF6_HhssUYiSJj8o/edit?usp=sharing"",""กองทุน!I63"")"),6474868.13)</f>
        <v>6474868.1299999999</v>
      </c>
      <c r="J523" s="199">
        <f ca="1">IFERROR(__xludf.DUMMYFUNCTION("IMPORTRANGE(""https://docs.google.com/spreadsheets/d/1muirlRDkqiswvy_NRZ3Yh955hx-PF6_HhssUYiSJj8o/edit?usp=sharing"",""กองทุน!K63"")"),32338.32)</f>
        <v>32338.32</v>
      </c>
      <c r="K523" s="200">
        <f t="shared" ca="1" si="115"/>
        <v>0.49944368519517635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IFERROR(__xludf.DUMMYFUNCTION("IMPORTRANGE(""https://docs.google.com/spreadsheets/d/1muirlRDkqiswvy_NRZ3Yh955hx-PF6_HhssUYiSJj8o/edit?usp=sharing"",""กองทุน!H63"")"),297)</f>
        <v>297</v>
      </c>
      <c r="J524" s="199">
        <f ca="1">IFERROR(__xludf.DUMMYFUNCTION("IMPORTRANGE(""https://docs.google.com/spreadsheets/d/1muirlRDkqiswvy_NRZ3Yh955hx-PF6_HhssUYiSJj8o/edit?usp=sharing"",""กองทุน!J63"")"),39)</f>
        <v>39</v>
      </c>
      <c r="K524" s="200">
        <f t="shared" ca="1" si="115"/>
        <v>13.131313131313131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IFERROR(__xludf.DUMMYFUNCTION("IMPORTRANGE(""https://docs.google.com/spreadsheets/d/1muirlRDkqiswvy_NRZ3Yh955hx-PF6_HhssUYiSJj8o/edit?usp=sharing"",""กองทุน!N63"")"),11836455)</f>
        <v>11836455</v>
      </c>
      <c r="J525" s="199">
        <f ca="1">IFERROR(__xludf.DUMMYFUNCTION("IMPORTRANGE(""https://docs.google.com/spreadsheets/d/1muirlRDkqiswvy_NRZ3Yh955hx-PF6_HhssUYiSJj8o/edit?usp=sharing"",""กองทุน!P63"")"),60870.15)</f>
        <v>60870.15</v>
      </c>
      <c r="K525" s="200">
        <f t="shared" ca="1" si="115"/>
        <v>0.51425997057395989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IFERROR(__xludf.DUMMYFUNCTION("IMPORTRANGE(""https://docs.google.com/spreadsheets/d/1muirlRDkqiswvy_NRZ3Yh955hx-PF6_HhssUYiSJj8o/edit?usp=sharing"",""กองทุน!M63"")"),180)</f>
        <v>180</v>
      </c>
      <c r="J526" s="199">
        <f ca="1">IFERROR(__xludf.DUMMYFUNCTION("IMPORTRANGE(""https://docs.google.com/spreadsheets/d/1muirlRDkqiswvy_NRZ3Yh955hx-PF6_HhssUYiSJj8o/edit?usp=sharing"",""กองทุน!O63"")"),7)</f>
        <v>7</v>
      </c>
      <c r="K526" s="200">
        <f t="shared" ca="1" si="115"/>
        <v>3.8888888888888888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IFERROR(__xludf.DUMMYFUNCTION("IMPORTRANGE(""https://docs.google.com/spreadsheets/d/1muirlRDkqiswvy_NRZ3Yh955hx-PF6_HhssUYiSJj8o/edit?usp=sharing"",""กองทุน!S63"")"),4700000)</f>
        <v>4700000</v>
      </c>
      <c r="J527" s="199">
        <f ca="1">IFERROR(__xludf.DUMMYFUNCTION("IMPORTRANGE(""https://docs.google.com/spreadsheets/d/1muirlRDkqiswvy_NRZ3Yh955hx-PF6_HhssUYiSJj8o/edit?usp=sharing"",""กองทุน!U63"")"),0)</f>
        <v>0</v>
      </c>
      <c r="K527" s="200">
        <f t="shared" ca="1" si="115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IFERROR(__xludf.DUMMYFUNCTION("IMPORTRANGE(""https://docs.google.com/spreadsheets/d/1muirlRDkqiswvy_NRZ3Yh955hx-PF6_HhssUYiSJj8o/edit?usp=sharing"",""กองทุน!R63"")"),200)</f>
        <v>200</v>
      </c>
      <c r="J528" s="324">
        <f ca="1">IFERROR(__xludf.DUMMYFUNCTION("IMPORTRANGE(""https://docs.google.com/spreadsheets/d/1muirlRDkqiswvy_NRZ3Yh955hx-PF6_HhssUYiSJj8o/edit?usp=sharing"",""กองทุน!T63"")"),0)</f>
        <v>0</v>
      </c>
      <c r="K528" s="347">
        <f t="shared" ca="1" si="115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227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879340</v>
      </c>
      <c r="M6" s="16">
        <f t="shared" si="0"/>
        <v>117110</v>
      </c>
      <c r="N6" s="17">
        <f ca="1">IF(L6&gt;0,M6*100/L6,0)</f>
        <v>13.317943002706576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IFERROR(__xludf.DUMMYFUNCTION("IMPORTRANGE(""https://docs.google.com/spreadsheets/d/1C3CXT74ZlgGe6_JY_1olB1XN4rF0dxEuIIF-xsYjHgg/edit?usp=sharing"",""พรบ!C64"")"),0)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IFERROR(__xludf.DUMMYFUNCTION("IMPORTRANGE(""https://docs.google.com/spreadsheets/d/1C3CXT74ZlgGe6_JY_1olB1XN4rF0dxEuIIF-xsYjHgg/edit?usp=sharing"",""พรบ!D64"")"),0)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IFERROR(__xludf.DUMMYFUNCTION("IMPORTRANGE(""https://docs.google.com/spreadsheets/d/1C3CXT74ZlgGe6_JY_1olB1XN4rF0dxEuIIF-xsYjHgg/edit?usp=sharing"",""พรบ!E64"")"),0)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IFERROR(__xludf.DUMMYFUNCTION("IMPORTRANGE(""https://docs.google.com/spreadsheets/d/1C3CXT74ZlgGe6_JY_1olB1XN4rF0dxEuIIF-xsYjHgg/edit?usp=sharing"",""พรบ!H64"")"),0)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IFERROR(__xludf.DUMMYFUNCTION("IMPORTRANGE(""https://docs.google.com/spreadsheets/d/1C3CXT74ZlgGe6_JY_1olB1XN4rF0dxEuIIF-xsYjHgg/edit?usp=sharing"",""พรบ!I64"")"),0)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IFERROR(__xludf.DUMMYFUNCTION("IMPORTRANGE(""https://docs.google.com/spreadsheets/d/1C3CXT74ZlgGe6_JY_1olB1XN4rF0dxEuIIF-xsYjHgg/edit?usp=sharing"",""พรบ!J64"")"),0)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IFERROR(__xludf.DUMMYFUNCTION("IMPORTRANGE(""https://docs.google.com/spreadsheets/d/1C3CXT74ZlgGe6_JY_1olB1XN4rF0dxEuIIF-xsYjHgg/edit?usp=sharing"",""พรบ!K64"")"),0)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IFERROR(__xludf.DUMMYFUNCTION("IMPORTRANGE(""https://docs.google.com/spreadsheets/d/1C3CXT74ZlgGe6_JY_1olB1XN4rF0dxEuIIF-xsYjHgg/edit?usp=sharing"",""พรบ!L64"")"),0)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IFERROR(__xludf.DUMMYFUNCTION("IMPORTRANGE(""https://docs.google.com/spreadsheets/d/1C3CXT74ZlgGe6_JY_1olB1XN4rF0dxEuIIF-xsYjHgg/edit?usp=sharing"",""พรบ!M64"")"),0)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IFERROR(__xludf.DUMMYFUNCTION("IMPORTRANGE(""https://docs.google.com/spreadsheets/d/1C3CXT74ZlgGe6_JY_1olB1XN4rF0dxEuIIF-xsYjHgg/edit?usp=sharing"",""พรบ!N64"")"),0)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IFERROR(__xludf.DUMMYFUNCTION("IMPORTRANGE(""https://docs.google.com/spreadsheets/d/1C3CXT74ZlgGe6_JY_1olB1XN4rF0dxEuIIF-xsYjHgg/edit?usp=sharing"",""พรบ!O64"")"),0)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IFERROR(__xludf.DUMMYFUNCTION("IMPORTRANGE(""https://docs.google.com/spreadsheets/d/1C3CXT74ZlgGe6_JY_1olB1XN4rF0dxEuIIF-xsYjHgg/edit?usp=sharing"",""พรบ!P64"")"),0)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IFERROR(__xludf.DUMMYFUNCTION("IMPORTRANGE(""https://docs.google.com/spreadsheets/d/1C3CXT74ZlgGe6_JY_1olB1XN4rF0dxEuIIF-xsYjHgg/edit?usp=sharing"",""พรบ!Q64"")"),0)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IFERROR(__xludf.DUMMYFUNCTION("IMPORTRANGE(""https://docs.google.com/spreadsheets/d/1C3CXT74ZlgGe6_JY_1olB1XN4rF0dxEuIIF-xsYjHgg/edit?usp=sharing"",""พรบ!R64"")"),0)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IFERROR(__xludf.DUMMYFUNCTION("IMPORTRANGE(""https://docs.google.com/spreadsheets/d/1C3CXT74ZlgGe6_JY_1olB1XN4rF0dxEuIIF-xsYjHgg/edit?usp=sharing"",""พรบ!S64"")"),0)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IFERROR(__xludf.DUMMYFUNCTION("IMPORTRANGE(""https://docs.google.com/spreadsheets/d/1C3CXT74ZlgGe6_JY_1olB1XN4rF0dxEuIIF-xsYjHgg/edit?usp=sharing"",""พรบ!T64"")"),0)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IFERROR(__xludf.DUMMYFUNCTION("IMPORTRANGE(""https://docs.google.com/spreadsheets/d/1C3CXT74ZlgGe6_JY_1olB1XN4rF0dxEuIIF-xsYjHgg/edit?usp=sharing"",""พรบ!U64"")"),0)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IFERROR(__xludf.DUMMYFUNCTION("IMPORTRANGE(""https://docs.google.com/spreadsheets/d/1C3CXT74ZlgGe6_JY_1olB1XN4rF0dxEuIIF-xsYjHgg/edit?usp=sharing"",""พรบ!V64"")"),0)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IFERROR(__xludf.DUMMYFUNCTION("IMPORTRANGE(""https://docs.google.com/spreadsheets/d/1C3CXT74ZlgGe6_JY_1olB1XN4rF0dxEuIIF-xsYjHgg/edit?usp=sharing"",""พรบ!W64"")"),0)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IFERROR(__xludf.DUMMYFUNCTION("IMPORTRANGE(""https://docs.google.com/spreadsheets/d/1C3CXT74ZlgGe6_JY_1olB1XN4rF0dxEuIIF-xsYjHgg/edit?usp=sharing"",""พรบ!Y64"")"),0)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IFERROR(__xludf.DUMMYFUNCTION("IMPORTRANGE(""https://docs.google.com/spreadsheets/d/1C3CXT74ZlgGe6_JY_1olB1XN4rF0dxEuIIF-xsYjHgg/edit?usp=sharing"",""พรบ!Z64"")"),0)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IFERROR(__xludf.DUMMYFUNCTION("IMPORTRANGE(""https://docs.google.com/spreadsheets/d/1C3CXT74ZlgGe6_JY_1olB1XN4rF0dxEuIIF-xsYjHgg/edit?usp=sharing"",""พรบ!AA64"")"),0)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43100</v>
      </c>
      <c r="M68" s="138">
        <f t="shared" si="16"/>
        <v>21720</v>
      </c>
      <c r="N68" s="137">
        <f ca="1">IF(L68&gt;0,M68*100/L68,0)</f>
        <v>50.39443155452436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43100</v>
      </c>
      <c r="M71" s="139">
        <f>SUM(M72:M73)</f>
        <v>21720</v>
      </c>
      <c r="N71" s="49">
        <f t="shared" ca="1" si="17"/>
        <v>50.39443155452436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IFERROR(__xludf.DUMMYFUNCTION("IMPORTRANGE(""https://docs.google.com/spreadsheets/d/1C3CXT74ZlgGe6_JY_1olB1XN4rF0dxEuIIF-xsYjHgg/edit?usp=sharing"",""พรบ!AD64"")"),0)</f>
        <v>0</v>
      </c>
      <c r="M72" s="52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43100</v>
      </c>
      <c r="M73" s="52">
        <f t="shared" si="18"/>
        <v>21720</v>
      </c>
      <c r="N73" s="52">
        <f t="shared" ca="1" si="17"/>
        <v>50.39443155452436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1</v>
      </c>
      <c r="K74" s="146">
        <f ca="1">IF(I74&gt;0,J74*100/I74,0)</f>
        <v>25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IFERROR(__xludf.DUMMYFUNCTION("IMPORTRANGE(""https://docs.google.com/spreadsheets/d/1C3CXT74ZlgGe6_JY_1olB1XN4rF0dxEuIIF-xsYjHgg/edit?usp=sharing"",""พรบ!AF64"")"),7500)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IFERROR(__xludf.DUMMYFUNCTION("IMPORTRANGE(""https://docs.google.com/spreadsheets/d/1C3CXT74ZlgGe6_JY_1olB1XN4rF0dxEuIIF-xsYjHgg/edit?usp=sharing"",""พรบ!AG64"")"),4)</f>
        <v>4</v>
      </c>
      <c r="J83" s="67">
        <v>1</v>
      </c>
      <c r="K83" s="48">
        <f ca="1">IF(I83&gt;0,J83*100/I83,0)</f>
        <v>25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19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19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1</v>
      </c>
      <c r="J89" s="149">
        <f t="shared" si="21"/>
        <v>0</v>
      </c>
      <c r="K89" s="150">
        <f ca="1">IF(I89&gt;0,J89*100/I89,0)</f>
        <v>0</v>
      </c>
      <c r="L89" s="147">
        <f ca="1">L90+L91</f>
        <v>14000</v>
      </c>
      <c r="M89" s="147">
        <f>SUM(M90:M91)</f>
        <v>13240</v>
      </c>
      <c r="N89" s="147">
        <f t="shared" ref="N89:N92" ca="1" si="22">+IF(L89&gt;0,M89*100/L89,0)</f>
        <v>94.571428571428569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14000</v>
      </c>
      <c r="M91" s="49">
        <f t="shared" si="23"/>
        <v>13240</v>
      </c>
      <c r="N91" s="49">
        <f t="shared" ca="1" si="22"/>
        <v>94.571428571428569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IFERROR(__xludf.DUMMYFUNCTION("IMPORTRANGE(""https://docs.google.com/spreadsheets/d/1C3CXT74ZlgGe6_JY_1olB1XN4rF0dxEuIIF-xsYjHgg/edit?usp=sharing"",""พรบ!AH64"")"),14000)</f>
        <v>14000</v>
      </c>
      <c r="M92" s="53">
        <v>13240</v>
      </c>
      <c r="N92" s="52">
        <f t="shared" ca="1" si="22"/>
        <v>94.571428571428569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IFERROR(__xludf.DUMMYFUNCTION("IMPORTRANGE(""https://docs.google.com/spreadsheets/d/1C3CXT74ZlgGe6_JY_1olB1XN4rF0dxEuIIF-xsYjHgg/edit?usp=sharing"",""พรบ!AI64"")"),1)</f>
        <v>1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IFERROR(__xludf.DUMMYFUNCTION("IMPORTRANGE(""https://docs.google.com/spreadsheets/d/1C3CXT74ZlgGe6_JY_1olB1XN4rF0dxEuIIF-xsYjHgg/edit?usp=sharing"",""กปร!C64"")"),12000)</f>
        <v>12000</v>
      </c>
      <c r="M98" s="361">
        <v>12000</v>
      </c>
      <c r="N98" s="52">
        <f ca="1">+IF(L98&gt;0,M98*100/L98,0)</f>
        <v>100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1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15000</v>
      </c>
      <c r="M101" s="147">
        <f>SUM(M102:M103)</f>
        <v>8480</v>
      </c>
      <c r="N101" s="147">
        <f t="shared" ref="N101:N104" ca="1" si="25">+IF(L101&gt;0,M101*100/L101,0)</f>
        <v>56.533333333333331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15000</v>
      </c>
      <c r="M103" s="49">
        <f>M104</f>
        <v>8480</v>
      </c>
      <c r="N103" s="49">
        <f t="shared" ca="1" si="25"/>
        <v>56.533333333333331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47"/>
      <c r="K104" s="48"/>
      <c r="L104" s="52">
        <f ca="1">IFERROR(__xludf.DUMMYFUNCTION("IMPORTRANGE(""https://docs.google.com/spreadsheets/d/1C3CXT74ZlgGe6_JY_1olB1XN4rF0dxEuIIF-xsYjHgg/edit?usp=sharing"",""พรบ!AJ64"")"),15000)</f>
        <v>15000</v>
      </c>
      <c r="M104" s="53">
        <v>8480</v>
      </c>
      <c r="N104" s="52">
        <f t="shared" ca="1" si="25"/>
        <v>56.533333333333331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47"/>
      <c r="K105" s="48"/>
      <c r="L105" s="60"/>
      <c r="M105" s="60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7">
        <v>0</v>
      </c>
      <c r="K106" s="48"/>
      <c r="L106" s="60"/>
      <c r="M106" s="60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7">
        <v>0</v>
      </c>
      <c r="K107" s="48"/>
      <c r="L107" s="60" t="s">
        <v>21</v>
      </c>
      <c r="M107" s="60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7">
        <v>0</v>
      </c>
      <c r="K108" s="48"/>
      <c r="L108" s="60"/>
      <c r="M108" s="60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7">
        <v>0</v>
      </c>
      <c r="K109" s="48"/>
      <c r="L109" s="60"/>
      <c r="M109" s="60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IFERROR(__xludf.DUMMYFUNCTION("IMPORTRANGE(""https://docs.google.com/spreadsheets/d/1C3CXT74ZlgGe6_JY_1olB1XN4rF0dxEuIIF-xsYjHgg/edit?usp=sharing"",""พรบ!AK64"")"),1)</f>
        <v>1</v>
      </c>
      <c r="J110" s="67">
        <v>0</v>
      </c>
      <c r="K110" s="48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IFERROR(__xludf.DUMMYFUNCTION("IMPORTRANGE(""https://docs.google.com/spreadsheets/d/1C3CXT74ZlgGe6_JY_1olB1XN4rF0dxEuIIF-xsYjHgg/edit?usp=sharing"",""กปร!D64"")"),5000)</f>
        <v>5000</v>
      </c>
      <c r="M110" s="361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IFERROR(__xludf.DUMMYFUNCTION("IMPORTRANGE(""https://docs.google.com/spreadsheets/d/1C3CXT74ZlgGe6_JY_1olB1XN4rF0dxEuIIF-xsYjHgg/edit?usp=sharing"",""พรบ!AL64"")"),1)</f>
        <v>1</v>
      </c>
      <c r="J111" s="67">
        <v>0</v>
      </c>
      <c r="K111" s="48">
        <f t="shared" ca="1" si="26"/>
        <v>0</v>
      </c>
      <c r="L111" s="52">
        <f ca="1">IFERROR(__xludf.DUMMYFUNCTION("IMPORTRANGE(""https://docs.google.com/spreadsheets/d/1C3CXT74ZlgGe6_JY_1olB1XN4rF0dxEuIIF-xsYjHgg/edit?usp=sharing"",""กปร!E64"")"),8000)</f>
        <v>8000</v>
      </c>
      <c r="M111" s="361">
        <v>8000</v>
      </c>
      <c r="N111" s="52">
        <f t="shared" ca="1" si="27"/>
        <v>100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7">
        <v>0</v>
      </c>
      <c r="K112" s="48"/>
      <c r="L112" s="60"/>
      <c r="M112" s="60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84">
        <v>0</v>
      </c>
      <c r="K113" s="48"/>
      <c r="L113" s="60"/>
      <c r="M113" s="60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3200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6600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6600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IFERROR(__xludf.DUMMYFUNCTION("IMPORTRANGE(""https://docs.google.com/spreadsheets/d/1C3CXT74ZlgGe6_JY_1olB1XN4rF0dxEuIIF-xsYjHgg/edit?usp=sharing"",""พรบ!AM64"")"),6600)</f>
        <v>6600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IFERROR(__xludf.DUMMYFUNCTION("IMPORTRANGE(""https://docs.google.com/spreadsheets/d/1C3CXT74ZlgGe6_JY_1olB1XN4rF0dxEuIIF-xsYjHgg/edit?usp=sharing"",""พรบ!AO64"")"),3200)</f>
        <v>3200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IFERROR(__xludf.DUMMYFUNCTION("IMPORTRANGE(""https://docs.google.com/spreadsheets/d/1C3CXT74ZlgGe6_JY_1olB1XN4rF0dxEuIIF-xsYjHgg/edit?usp=sharing"",""พรบ!AP64"")"),3200)</f>
        <v>3200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IFERROR(__xludf.DUMMYFUNCTION("IMPORTRANGE(""https://docs.google.com/spreadsheets/d/1C3CXT74ZlgGe6_JY_1olB1XN4rF0dxEuIIF-xsYjHgg/edit?usp=sharing"",""กปร!F64"")"),2600)</f>
        <v>2600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IFERROR(__xludf.DUMMYFUNCTION("IMPORTRANGE(""https://docs.google.com/spreadsheets/d/1C3CXT74ZlgGe6_JY_1olB1XN4rF0dxEuIIF-xsYjHgg/edit?usp=sharing"",""พรบ!AQ64"")"),0)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IFERROR(__xludf.DUMMYFUNCTION("IMPORTRANGE(""https://docs.google.com/spreadsheets/d/1C3CXT74ZlgGe6_JY_1olB1XN4rF0dxEuIIF-xsYjHgg/edit?usp=sharing"",""กปร!G64"")"),0)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74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66"/>
      <c r="K132" s="232"/>
      <c r="L132" s="52">
        <f ca="1">IFERROR(__xludf.DUMMYFUNCTION("IMPORTRANGE(""https://docs.google.com/spreadsheets/d/1C3CXT74ZlgGe6_JY_1olB1XN4rF0dxEuIIF-xsYjHgg/edit?usp=sharing"",""พรบ!AR64"")"),0)</f>
        <v>0</v>
      </c>
      <c r="M132" s="52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66"/>
      <c r="K133" s="232"/>
      <c r="L133" s="52"/>
      <c r="M133" s="52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6">
        <v>0</v>
      </c>
      <c r="K134" s="232"/>
      <c r="L134" s="52"/>
      <c r="M134" s="52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6">
        <v>0</v>
      </c>
      <c r="K135" s="232"/>
      <c r="L135" s="52" t="s">
        <v>21</v>
      </c>
      <c r="M135" s="52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6">
        <v>0</v>
      </c>
      <c r="K136" s="232"/>
      <c r="L136" s="52"/>
      <c r="M136" s="52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6">
        <v>0</v>
      </c>
      <c r="K137" s="232"/>
      <c r="L137" s="52"/>
      <c r="M137" s="52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IFERROR(__xludf.DUMMYFUNCTION("IMPORTRANGE(""https://docs.google.com/spreadsheets/d/1C3CXT74ZlgGe6_JY_1olB1XN4rF0dxEuIIF-xsYjHgg/edit?usp=sharing"",""พรบ!AS64"")"),0)</f>
        <v>0</v>
      </c>
      <c r="J138" s="66">
        <v>0</v>
      </c>
      <c r="K138" s="232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IFERROR(__xludf.DUMMYFUNCTION("IMPORTRANGE(""https://docs.google.com/spreadsheets/d/1C3CXT74ZlgGe6_JY_1olB1XN4rF0dxEuIIF-xsYjHgg/edit?usp=sharing"",""กปร!H64"")"),0)</f>
        <v>0</v>
      </c>
      <c r="M138" s="52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232"/>
      <c r="L139" s="52"/>
      <c r="M139" s="52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IFERROR(__xludf.DUMMYFUNCTION("IMPORTRANGE(""https://docs.google.com/spreadsheets/d/1C3CXT74ZlgGe6_JY_1olB1XN4rF0dxEuIIF-xsYjHgg/edit?usp=sharing"",""พรบ!AT64"")"),0)</f>
        <v>0</v>
      </c>
      <c r="J140" s="66">
        <v>0</v>
      </c>
      <c r="K140" s="232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IFERROR(__xludf.DUMMYFUNCTION("IMPORTRANGE(""https://docs.google.com/spreadsheets/d/1C3CXT74ZlgGe6_JY_1olB1XN4rF0dxEuIIF-xsYjHgg/edit?usp=sharing"",""กปร!I64"")"),0)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IFERROR(__xludf.DUMMYFUNCTION("IMPORTRANGE(""https://docs.google.com/spreadsheets/d/1C3CXT74ZlgGe6_JY_1olB1XN4rF0dxEuIIF-xsYjHgg/edit?usp=sharing"",""พรบ!AU64"")"),0)</f>
        <v>0</v>
      </c>
      <c r="J141" s="66">
        <v>0</v>
      </c>
      <c r="K141" s="232">
        <f t="shared" ca="1" si="34"/>
        <v>0</v>
      </c>
      <c r="L141" s="52">
        <f ca="1">IFERROR(__xludf.DUMMYFUNCTION("IMPORTRANGE(""https://docs.google.com/spreadsheets/d/1C3CXT74ZlgGe6_JY_1olB1XN4rF0dxEuIIF-xsYjHgg/edit?usp=sharing"",""กปร!J64"")"),0)</f>
        <v>0</v>
      </c>
      <c r="M141" s="52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6">
        <v>0</v>
      </c>
      <c r="K142" s="232"/>
      <c r="L142" s="52"/>
      <c r="M142" s="52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357">
        <v>0</v>
      </c>
      <c r="K143" s="358"/>
      <c r="L143" s="359"/>
      <c r="M143" s="359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14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20210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20210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IFERROR(__xludf.DUMMYFUNCTION("IMPORTRANGE(""https://docs.google.com/spreadsheets/d/1C3CXT74ZlgGe6_JY_1olB1XN4rF0dxEuIIF-xsYjHgg/edit?usp=sharing"",""พรบ!AY64"")"),20210)</f>
        <v>20210</v>
      </c>
      <c r="M148" s="53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14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IFERROR(__xludf.DUMMYFUNCTION("IMPORTRANGE(""https://docs.google.com/spreadsheets/d/1C3CXT74ZlgGe6_JY_1olB1XN4rF0dxEuIIF-xsYjHgg/edit?usp=sharing"",""พรบ!BA64"")"),14)</f>
        <v>14</v>
      </c>
      <c r="J155" s="67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IFERROR(__xludf.DUMMYFUNCTION("IMPORTRANGE(""https://docs.google.com/spreadsheets/d/1C3CXT74ZlgGe6_JY_1olB1XN4rF0dxEuIIF-xsYjHgg/edit?usp=sharing"",""พรบ!BD64"")"),0)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IFERROR(__xludf.DUMMYFUNCTION("IMPORTRANGE(""https://docs.google.com/spreadsheets/d/1C3CXT74ZlgGe6_JY_1olB1XN4rF0dxEuIIF-xsYjHgg/edit?usp=sharing"",""พรบ!BE64"")"),0)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IFERROR(__xludf.DUMMYFUNCTION("IMPORTRANGE(""https://docs.google.com/spreadsheets/d/1C3CXT74ZlgGe6_JY_1olB1XN4rF0dxEuIIF-xsYjHgg/edit?usp=sharing"",""พรบ!BF64"")"),0)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IFERROR(__xludf.DUMMYFUNCTION("IMPORTRANGE(""https://docs.google.com/spreadsheets/d/1C3CXT74ZlgGe6_JY_1olB1XN4rF0dxEuIIF-xsYjHgg/edit?usp=sharing"",""พรบ!BG64"")"),0)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IFERROR(__xludf.DUMMYFUNCTION("IMPORTRANGE(""https://docs.google.com/spreadsheets/d/1C3CXT74ZlgGe6_JY_1olB1XN4rF0dxEuIIF-xsYjHgg/edit?usp=sharing"",""พรบ!BH64"")"),0)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IFERROR(__xludf.DUMMYFUNCTION("IMPORTRANGE(""https://docs.google.com/spreadsheets/d/1C3CXT74ZlgGe6_JY_1olB1XN4rF0dxEuIIF-xsYjHgg/edit?usp=sharing"",""พรบ!BI64"")"),0)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66"/>
      <c r="J188" s="66"/>
      <c r="K188" s="232"/>
      <c r="L188" s="52">
        <f ca="1">IFERROR(__xludf.DUMMYFUNCTION("IMPORTRANGE(""https://docs.google.com/spreadsheets/d/1C3CXT74ZlgGe6_JY_1olB1XN4rF0dxEuIIF-xsYjHgg/edit?usp=sharing"",""พรบ!BK64"")"),0)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66"/>
      <c r="J189" s="66"/>
      <c r="K189" s="232"/>
      <c r="L189" s="52">
        <f ca="1">IFERROR(__xludf.DUMMYFUNCTION("IMPORTRANGE(""https://docs.google.com/spreadsheets/d/1C3CXT74ZlgGe6_JY_1olB1XN4rF0dxEuIIF-xsYjHgg/edit?usp=sharing"",""พรบ!BL64"")"),0)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66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IFERROR(__xludf.DUMMYFUNCTION("IMPORTRANGE(""https://docs.google.com/spreadsheets/d/1C3CXT74ZlgGe6_JY_1olB1XN4rF0dxEuIIF-xsYjHgg/edit?usp=sharing"",""พรบ!BM64"")"),0)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IFERROR(__xludf.DUMMYFUNCTION("IMPORTRANGE(""https://docs.google.com/spreadsheets/d/1C3CXT74ZlgGe6_JY_1olB1XN4rF0dxEuIIF-xsYjHgg/edit?usp=sharing"",""พรบ!BP64"")"),0)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IFERROR(__xludf.DUMMYFUNCTION("IMPORTRANGE(""https://docs.google.com/spreadsheets/d/1C3CXT74ZlgGe6_JY_1olB1XN4rF0dxEuIIF-xsYjHgg/edit?usp=sharing"",""พรบ!BQ64"")"),0)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IFERROR(__xludf.DUMMYFUNCTION("IMPORTRANGE(""https://docs.google.com/spreadsheets/d/1C3CXT74ZlgGe6_JY_1olB1XN4rF0dxEuIIF-xsYjHgg/edit?usp=sharing"",""พรบ!BR64"")"),0)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47"/>
      <c r="K215" s="48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47"/>
      <c r="K216" s="48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47"/>
      <c r="K217" s="48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IFERROR(__xludf.DUMMYFUNCTION("IMPORTRANGE(""https://docs.google.com/spreadsheets/d/1C3CXT74ZlgGe6_JY_1olB1XN4rF0dxEuIIF-xsYjHgg/edit?usp=sharing"",""พรบ!BU64"")"),0)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IFERROR(__xludf.DUMMYFUNCTION("IMPORTRANGE(""https://docs.google.com/spreadsheets/d/1C3CXT74ZlgGe6_JY_1olB1XN4rF0dxEuIIF-xsYjHgg/edit?usp=sharing"",""พรบ!BV64"")"),0)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170</v>
      </c>
      <c r="J228" s="197">
        <f ca="1">J240</f>
        <v>4</v>
      </c>
      <c r="K228" s="178">
        <f ca="1">IF(I228&gt;0,J228*100/I228,0)</f>
        <v>2.3529411764705883</v>
      </c>
      <c r="L228" s="179">
        <f ca="1">L229+L230</f>
        <v>816030</v>
      </c>
      <c r="M228" s="179">
        <f>SUM(M229:M230)</f>
        <v>95390</v>
      </c>
      <c r="N228" s="178">
        <f ca="1">IF(L228&gt;0,M228*100/L228,0)</f>
        <v>11.68952121858265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816030</v>
      </c>
      <c r="M230" s="52">
        <f t="shared" si="51"/>
        <v>95390</v>
      </c>
      <c r="N230" s="52">
        <f t="shared" ca="1" si="50"/>
        <v>11.68952121858265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IFERROR(__xludf.DUMMYFUNCTION("IMPORTRANGE(""https://docs.google.com/spreadsheets/d/1C3CXT74ZlgGe6_JY_1olB1XN4rF0dxEuIIF-xsYjHgg/edit?usp=sharing"",""พรบ!BX64"")"),493800)</f>
        <v>493800</v>
      </c>
      <c r="M231" s="53">
        <v>51390</v>
      </c>
      <c r="N231" s="52">
        <f t="shared" ca="1" si="50"/>
        <v>10.407047387606319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IFERROR(__xludf.DUMMYFUNCTION("IMPORTRANGE(""https://docs.google.com/spreadsheets/d/1C3CXT74ZlgGe6_JY_1olB1XN4rF0dxEuIIF-xsYjHgg/edit?usp=sharing"",""พรบ!BY64"")"),322230)</f>
        <v>322230</v>
      </c>
      <c r="M232" s="53">
        <v>44000</v>
      </c>
      <c r="N232" s="52">
        <f t="shared" ca="1" si="50"/>
        <v>13.65484281413897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IFERROR(__xludf.DUMMYFUNCTION("IMPORTRANGE(""https://docs.google.com/spreadsheets/d/1AGHcLOeeYFL3K4b9R1dSzyJy00PE_ra89DNTVfnxSWM/edit?usp=sharing"",""รวมที่ทำกิน!J53"")"),0)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IFERROR(__xludf.DUMMYFUNCTION("IMPORTRANGE(""https://docs.google.com/spreadsheets/d/1C3CXT74ZlgGe6_JY_1olB1XN4rF0dxEuIIF-xsYjHgg/edit?usp=sharing"",""พรบ!BZ64"")"),1600)</f>
        <v>1600</v>
      </c>
      <c r="J235" s="66">
        <f ca="1">IFERROR(__xludf.DUMMYFUNCTION("IMPORTRANGE(""https://docs.google.com/spreadsheets/d/1AGHcLOeeYFL3K4b9R1dSzyJy00PE_ra89DNTVfnxSWM/edit?usp=sharing"",""รวมที่ทำกิน!L53"")"),0)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IFERROR(__xludf.DUMMYFUNCTION("IMPORTRANGE(""https://docs.google.com/spreadsheets/d/1C3CXT74ZlgGe6_JY_1olB1XN4rF0dxEuIIF-xsYjHgg/edit?usp=sharing"",""พรบ!CA64"")"),170)</f>
        <v>170</v>
      </c>
      <c r="J236" s="66">
        <f ca="1">IFERROR(__xludf.DUMMYFUNCTION("IMPORTRANGE(""https://docs.google.com/spreadsheets/d/1AGHcLOeeYFL3K4b9R1dSzyJy00PE_ra89DNTVfnxSWM/edit?usp=sharing"",""รวมที่ทำกิน!O53"")"),4)</f>
        <v>4</v>
      </c>
      <c r="K236" s="200">
        <f t="shared" ca="1" si="52"/>
        <v>2.3529411764705883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IFERROR(__xludf.DUMMYFUNCTION("IMPORTRANGE(""https://docs.google.com/spreadsheets/d/1AGHcLOeeYFL3K4b9R1dSzyJy00PE_ra89DNTVfnxSWM/edit?usp=sharing"",""รวมที่ทำกิน!Q53"")"),118.75)</f>
        <v>118.75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IFERROR(__xludf.DUMMYFUNCTION("IMPORTRANGE(""https://docs.google.com/spreadsheets/d/1C3CXT74ZlgGe6_JY_1olB1XN4rF0dxEuIIF-xsYjHgg/edit?usp=sharing"",""พรบ!CB64"")"),170)</f>
        <v>170</v>
      </c>
      <c r="J238" s="66">
        <f ca="1">IFERROR(__xludf.DUMMYFUNCTION("IMPORTRANGE(""https://docs.google.com/spreadsheets/d/1AGHcLOeeYFL3K4b9R1dSzyJy00PE_ra89DNTVfnxSWM/edit?usp=sharing"",""รวมที่ทำกิน!S53"")"),0)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IFERROR(__xludf.DUMMYFUNCTION("IMPORTRANGE(""https://docs.google.com/spreadsheets/d/1AGHcLOeeYFL3K4b9R1dSzyJy00PE_ra89DNTVfnxSWM/edit?usp=sharing"",""รวมที่ทำกิน!U53"")"),0)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IFERROR(__xludf.DUMMYFUNCTION("IMPORTRANGE(""https://docs.google.com/spreadsheets/d/1C3CXT74ZlgGe6_JY_1olB1XN4rF0dxEuIIF-xsYjHgg/edit?usp=sharing"",""พรบ!CC64"")"),170)</f>
        <v>170</v>
      </c>
      <c r="J240" s="66">
        <f ca="1">IFERROR(__xludf.DUMMYFUNCTION("IMPORTRANGE(""https://docs.google.com/spreadsheets/d/1AGHcLOeeYFL3K4b9R1dSzyJy00PE_ra89DNTVfnxSWM/edit?usp=sharing"",""รวมที่ทำกิน!W53"")"),4)</f>
        <v>4</v>
      </c>
      <c r="K240" s="200">
        <f t="shared" ca="1" si="52"/>
        <v>2.3529411764705883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IFERROR(__xludf.DUMMYFUNCTION("IMPORTRANGE(""https://docs.google.com/spreadsheets/d/1AGHcLOeeYFL3K4b9R1dSzyJy00PE_ra89DNTVfnxSWM/edit?usp=sharing"",""รวมที่ทำกิน!Y53"")"),118.75)</f>
        <v>118.75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623342</v>
      </c>
      <c r="M242" s="213">
        <f t="shared" si="53"/>
        <v>59248</v>
      </c>
      <c r="N242" s="213">
        <f ca="1">+IF(L242&gt;0,M242*100/L242,0)</f>
        <v>9.504894584353373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66"/>
      <c r="K246" s="232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66"/>
      <c r="K247" s="232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66"/>
      <c r="K248" s="232"/>
      <c r="L248" s="52">
        <f ca="1">IFERROR(__xludf.DUMMYFUNCTION("IMPORTRANGE(""https://docs.google.com/spreadsheets/d/1C3CXT74ZlgGe6_JY_1olB1XN4rF0dxEuIIF-xsYjHgg/edit?usp=sharing"",""งบกองทุน!d64"")"),0)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66"/>
      <c r="K249" s="232"/>
      <c r="L249" s="52">
        <f ca="1">IFERROR(__xludf.DUMMYFUNCTION("IMPORTRANGE(""https://docs.google.com/spreadsheets/d/1C3CXT74ZlgGe6_JY_1olB1XN4rF0dxEuIIF-xsYjHgg/edit?usp=sharing"",""งบกองทุน!e64"")"),0)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IFERROR(__xludf.DUMMYFUNCTION("IMPORTRANGE(""https://docs.google.com/spreadsheets/d/1C3CXT74ZlgGe6_JY_1olB1XN4rF0dxEuIIF-xsYjHgg/edit?usp=sharing"",""งบกองทุน!f64"")"),0)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IFERROR(__xludf.DUMMYFUNCTION("IMPORTRANGE(""https://docs.google.com/spreadsheets/d/1C3CXT74ZlgGe6_JY_1olB1XN4rF0dxEuIIF-xsYjHgg/edit?usp=sharing"",""งบกองทุน!H64"")"),0)</f>
        <v>0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IFERROR(__xludf.DUMMYFUNCTION("IMPORTRANGE(""https://docs.google.com/spreadsheets/d/1C3CXT74ZlgGe6_JY_1olB1XN4rF0dxEuIIF-xsYjHgg/edit?usp=sharing"",""งบกองทุน!i64"")"),0)</f>
        <v>0</v>
      </c>
      <c r="J264" s="66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IFERROR(__xludf.DUMMYFUNCTION("IMPORTRANGE(""https://docs.google.com/spreadsheets/d/1C3CXT74ZlgGe6_JY_1olB1XN4rF0dxEuIIF-xsYjHgg/edit?usp=sharing"",""งบกองทุน!k64"")"),0)</f>
        <v>0</v>
      </c>
      <c r="J266" s="66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IFERROR(__xludf.DUMMYFUNCTION("IMPORTRANGE(""https://docs.google.com/spreadsheets/d/1C3CXT74ZlgGe6_JY_1olB1XN4rF0dxEuIIF-xsYjHgg/edit?usp=sharing"",""งบกองทุน!m64"")"),0)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IFERROR(__xludf.DUMMYFUNCTION("IMPORTRANGE(""https://docs.google.com/spreadsheets/d/1C3CXT74ZlgGe6_JY_1olB1XN4rF0dxEuIIF-xsYjHgg/edit?usp=sharing"",""งบกองทุน!o64"")"),0)</f>
        <v>0</v>
      </c>
      <c r="J271" s="66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IFERROR(__xludf.DUMMYFUNCTION("IMPORTRANGE(""https://docs.google.com/spreadsheets/d/1C3CXT74ZlgGe6_JY_1olB1XN4rF0dxEuIIF-xsYjHgg/edit?usp=sharing"",""งบกองทุน!p64"")"),0)</f>
        <v>0</v>
      </c>
      <c r="J272" s="66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200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207560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20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207560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IFERROR(__xludf.DUMMYFUNCTION("IMPORTRANGE(""https://docs.google.com/spreadsheets/d/1C3CXT74ZlgGe6_JY_1olB1XN4rF0dxEuIIF-xsYjHgg/edit?usp=sharing"",""งบกองทุน!r64"")"),0)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IFERROR(__xludf.DUMMYFUNCTION("IMPORTRANGE(""https://docs.google.com/spreadsheets/d/1C3CXT74ZlgGe6_JY_1olB1XN4rF0dxEuIIF-xsYjHgg/edit?usp=sharing"",""งบกองทุน!s64"")"),207560)</f>
        <v>207560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0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IFERROR(__xludf.DUMMYFUNCTION("IMPORTRANGE(""https://docs.google.com/spreadsheets/d/1C3CXT74ZlgGe6_JY_1olB1XN4rF0dxEuIIF-xsYjHgg/edit?usp=sharing"",""งบกองทุน!v64"")"),20)</f>
        <v>20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IFERROR(__xludf.DUMMYFUNCTION("IMPORTRANGE(""https://docs.google.com/spreadsheets/d/1C3CXT74ZlgGe6_JY_1olB1XN4rF0dxEuIIF-xsYjHgg/edit?usp=sharing"",""งบกองทุน!w64"")"),200)</f>
        <v>200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IFERROR(__xludf.DUMMYFUNCTION("IMPORTRANGE(""https://docs.google.com/spreadsheets/d/1C3CXT74ZlgGe6_JY_1olB1XN4rF0dxEuIIF-xsYjHgg/edit?usp=sharing"",""งบกองทุน!x64"")"),20)</f>
        <v>20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90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116320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30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116320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IFERROR(__xludf.DUMMYFUNCTION("IMPORTRANGE(""https://docs.google.com/spreadsheets/d/1C3CXT74ZlgGe6_JY_1olB1XN4rF0dxEuIIF-xsYjHgg/edit?usp=sharing"",""งบกองทุน!z64"")"),0)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IFERROR(__xludf.DUMMYFUNCTION("IMPORTRANGE(""https://docs.google.com/spreadsheets/d/1C3CXT74ZlgGe6_JY_1olB1XN4rF0dxEuIIF-xsYjHgg/edit?usp=sharing"",""งบกองทุน!aa64"")"),116320)</f>
        <v>116320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0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30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IFERROR(__xludf.DUMMYFUNCTION("IMPORTRANGE(""https://docs.google.com/spreadsheets/d/1C3CXT74ZlgGe6_JY_1olB1XN4rF0dxEuIIF-xsYjHgg/edit?usp=sharing"",""งบกองทุน!ae64"")"),10)</f>
        <v>10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IFERROR(__xludf.DUMMYFUNCTION("IMPORTRANGE(""https://docs.google.com/spreadsheets/d/1C3CXT74ZlgGe6_JY_1olB1XN4rF0dxEuIIF-xsYjHgg/edit?usp=sharing"",""งบกองทุน!ad64"")"),30)</f>
        <v>30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IFERROR(__xludf.DUMMYFUNCTION("IMPORTRANGE(""https://docs.google.com/spreadsheets/d/1C3CXT74ZlgGe6_JY_1olB1XN4rF0dxEuIIF-xsYjHgg/edit?usp=sharing"",""งบกองทุน!af64"")"),10)</f>
        <v>10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IFERROR(__xludf.DUMMYFUNCTION("IMPORTRANGE(""https://docs.google.com/spreadsheets/d/1C3CXT74ZlgGe6_JY_1olB1XN4rF0dxEuIIF-xsYjHgg/edit?usp=sharing"",""งบกองทุน!ag64"")"),10)</f>
        <v>10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IFERROR(__xludf.DUMMYFUNCTION("IMPORTRANGE(""https://docs.google.com/spreadsheets/d/1C3CXT74ZlgGe6_JY_1olB1XN4rF0dxEuIIF-xsYjHgg/edit?usp=sharing"",""งบกองทุน!ai64"")"),10)</f>
        <v>10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IFERROR(__xludf.DUMMYFUNCTION("IMPORTRANGE(""https://docs.google.com/spreadsheets/d/1C3CXT74ZlgGe6_JY_1olB1XN4rF0dxEuIIF-xsYjHgg/edit?usp=sharing"",""งบกองทุน!ah64"")"),30)</f>
        <v>30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IFERROR(__xludf.DUMMYFUNCTION("IMPORTRANGE(""https://docs.google.com/spreadsheets/d/1C3CXT74ZlgGe6_JY_1olB1XN4rF0dxEuIIF-xsYjHgg/edit?usp=sharing"",""งบกองทุน!aj64"")"),10)</f>
        <v>10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IFERROR(__xludf.DUMMYFUNCTION("IMPORTRANGE(""https://docs.google.com/spreadsheets/d/1C3CXT74ZlgGe6_JY_1olB1XN4rF0dxEuIIF-xsYjHgg/edit?usp=sharing"",""งบกองทุน!ak64"")"),10)</f>
        <v>10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IFERROR(__xludf.DUMMYFUNCTION("IMPORTRANGE(""https://docs.google.com/spreadsheets/d/1C3CXT74ZlgGe6_JY_1olB1XN4rF0dxEuIIF-xsYjHgg/edit?usp=sharing"",""งบกองทุน!al64"")"),10)</f>
        <v>10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IFERROR(__xludf.DUMMYFUNCTION("IMPORTRANGE(""https://docs.google.com/spreadsheets/d/1C3CXT74ZlgGe6_JY_1olB1XN4rF0dxEuIIF-xsYjHgg/edit?usp=sharing"",""งบกองทุน!an64"")"),10)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IFERROR(__xludf.DUMMYFUNCTION("IMPORTRANGE(""https://docs.google.com/spreadsheets/d/1C3CXT74ZlgGe6_JY_1olB1XN4rF0dxEuIIF-xsYjHgg/edit?usp=sharing"",""งบกองทุน!am64"")"),30)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IFERROR(__xludf.DUMMYFUNCTION("IMPORTRANGE(""https://docs.google.com/spreadsheets/d/1C3CXT74ZlgGe6_JY_1olB1XN4rF0dxEuIIF-xsYjHgg/edit?usp=sharing"",""งบกองทุน!ao64"")"),10)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IFERROR(__xludf.DUMMYFUNCTION("IMPORTRANGE(""https://docs.google.com/spreadsheets/d/1C3CXT74ZlgGe6_JY_1olB1XN4rF0dxEuIIF-xsYjHgg/edit?usp=sharing"",""งบกองทุน!ap64"")"),10)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20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IFERROR(__xludf.DUMMYFUNCTION("IMPORTRANGE(""https://docs.google.com/spreadsheets/d/1C3CXT74ZlgGe6_JY_1olB1XN4rF0dxEuIIF-xsYjHgg/edit?usp=sharing"",""งบกองทุน!ar64"")"),10)</f>
        <v>10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IFERROR(__xludf.DUMMYFUNCTION("IMPORTRANGE(""https://docs.google.com/spreadsheets/d/1C3CXT74ZlgGe6_JY_1olB1XN4rF0dxEuIIF-xsYjHgg/edit?usp=sharing"",""งบกองทุน!as64"")"),10)</f>
        <v>10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72000</v>
      </c>
      <c r="M330" s="259">
        <f t="shared" si="74"/>
        <v>35590</v>
      </c>
      <c r="N330" s="259">
        <f t="shared" ref="N330:N334" ca="1" si="75">+IF(L330&gt;0,M330*100/L330,0)</f>
        <v>49.430555555555557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72000</v>
      </c>
      <c r="M332" s="52">
        <f t="shared" si="76"/>
        <v>35590</v>
      </c>
      <c r="N332" s="52">
        <f t="shared" ca="1" si="75"/>
        <v>49.430555555555557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IFERROR(__xludf.DUMMYFUNCTION("IMPORTRANGE(""https://docs.google.com/spreadsheets/d/1C3CXT74ZlgGe6_JY_1olB1XN4rF0dxEuIIF-xsYjHgg/edit?usp=sharing"",""งบกองทุน!au64"")"),0)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IFERROR(__xludf.DUMMYFUNCTION("IMPORTRANGE(""https://docs.google.com/spreadsheets/d/1C3CXT74ZlgGe6_JY_1olB1XN4rF0dxEuIIF-xsYjHgg/edit?usp=sharing"",""งบกองทุน!av64"")"),72000)</f>
        <v>72000</v>
      </c>
      <c r="M334" s="52">
        <f>SUM(M335:M338)</f>
        <v>35590</v>
      </c>
      <c r="N334" s="52">
        <f t="shared" ca="1" si="75"/>
        <v>49.430555555555557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30980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4610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IFERROR(__xludf.DUMMYFUNCTION("IMPORTRANGE(""https://docs.google.com/spreadsheets/d/1C3CXT74ZlgGe6_JY_1olB1XN4rF0dxEuIIF-xsYjHgg/edit?usp=sharing"",""งบกองทุน!ay64"")"),10)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IFERROR(__xludf.DUMMYFUNCTION("IMPORTRANGE(""https://docs.google.com/spreadsheets/d/1C3CXT74ZlgGe6_JY_1olB1XN4rF0dxEuIIF-xsYjHgg/edit?usp=sharing"",""งบกองทุน!az64"")"),0)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IFERROR(__xludf.DUMMYFUNCTION("IMPORTRANGE(""https://docs.google.com/spreadsheets/d/1C3CXT74ZlgGe6_JY_1olB1XN4rF0dxEuIIF-xsYjHgg/edit?usp=sharing"",""งบกองทุน!Ba64"")"),0)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66252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66252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IFERROR(__xludf.DUMMYFUNCTION("IMPORTRANGE(""https://docs.google.com/spreadsheets/d/1C3CXT74ZlgGe6_JY_1olB1XN4rF0dxEuIIF-xsYjHgg/edit?usp=sharing"",""งบกองทุน!Bc64"")"),0)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IFERROR(__xludf.DUMMYFUNCTION("IMPORTRANGE(""https://docs.google.com/spreadsheets/d/1C3CXT74ZlgGe6_JY_1olB1XN4rF0dxEuIIF-xsYjHgg/edit?usp=sharing"",""งบกองทุน!Bd64"")"),66252)</f>
        <v>66252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3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3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IFERROR(__xludf.DUMMYFUNCTION("IMPORTRANGE(""https://docs.google.com/spreadsheets/d/1C3CXT74ZlgGe6_JY_1olB1XN4rF0dxEuIIF-xsYjHgg/edit?usp=sharing"",""งบกองทุน!BE64"")"),0)</f>
        <v>0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13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IFERROR(__xludf.DUMMYFUNCTION("IMPORTRANGE(""https://docs.google.com/spreadsheets/d/1C3CXT74ZlgGe6_JY_1olB1XN4rF0dxEuIIF-xsYjHgg/edit?usp=sharing"",""งบกองทุน!BE64"")"),0)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60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IFERROR(__xludf.DUMMYFUNCTION("IMPORTRANGE(""https://docs.google.com/spreadsheets/d/1C3CXT74ZlgGe6_JY_1olB1XN4rF0dxEuIIF-xsYjHgg/edit?usp=sharing"",""งบกองทุน!Bf64"")"),0)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265">
        <f ca="1">I361</f>
        <v>0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IFERROR(__xludf.DUMMYFUNCTION("IMPORTRANGE(""https://docs.google.com/spreadsheets/d/1C3CXT74ZlgGe6_JY_1olB1XN4rF0dxEuIIF-xsYjHgg/edit?usp=sharing"",""งบกองทุน!cd64"")"),1395)</f>
        <v>1395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IFERROR(__xludf.DUMMYFUNCTION("IMPORTRANGE(""https://docs.google.com/spreadsheets/d/1C3CXT74ZlgGe6_JY_1olB1XN4rF0dxEuIIF-xsYjHgg/edit?usp=sharing"",""งบกองทุน!cd64"")"),1395)</f>
        <v>1395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IFERROR(__xludf.DUMMYFUNCTION("IMPORTRANGE(""https://docs.google.com/spreadsheets/d/1C3CXT74ZlgGe6_JY_1olB1XN4rF0dxEuIIF-xsYjHgg/edit?usp=sharing"",""งบกองทุน!cc64"")"),89)</f>
        <v>89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IFERROR(__xludf.DUMMYFUNCTION("IMPORTRANGE(""https://docs.google.com/spreadsheets/d/1C3CXT74ZlgGe6_JY_1olB1XN4rF0dxEuIIF-xsYjHgg/edit?usp=sharing"",""งบกองทุน!cz64"")"),0)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IFERROR(__xludf.DUMMYFUNCTION("IMPORTRANGE(""https://docs.google.com/spreadsheets/d/1C3CXT74ZlgGe6_JY_1olB1XN4rF0dxEuIIF-xsYjHgg/edit?usp=sharing"",""งบกองทุน!cz64"")"),0)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IFERROR(__xludf.DUMMYFUNCTION("IMPORTRANGE(""https://docs.google.com/spreadsheets/d/1C3CXT74ZlgGe6_JY_1olB1XN4rF0dxEuIIF-xsYjHgg/edit?usp=sharing"",""งบกองทุน!cy64"")"),0)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IFERROR(__xludf.DUMMYFUNCTION("IMPORTRANGE(""https://docs.google.com/spreadsheets/d/1C3CXT74ZlgGe6_JY_1olB1XN4rF0dxEuIIF-xsYjHgg/edit?usp=sharing"",""งบกองทุน!db64"")"),0)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IFERROR(__xludf.DUMMYFUNCTION("IMPORTRANGE(""https://docs.google.com/spreadsheets/d/1C3CXT74ZlgGe6_JY_1olB1XN4rF0dxEuIIF-xsYjHgg/edit?usp=sharing"",""งบกองทุน!da64"")"),0)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IFERROR(__xludf.DUMMYFUNCTION("IMPORTRANGE(""https://docs.google.com/spreadsheets/d/1C3CXT74ZlgGe6_JY_1olB1XN4rF0dxEuIIF-xsYjHgg/edit?usp=sharing"",""งบกองทุน!dd64"")"),0)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IFERROR(__xludf.DUMMYFUNCTION("IMPORTRANGE(""https://docs.google.com/spreadsheets/d/1C3CXT74ZlgGe6_JY_1olB1XN4rF0dxEuIIF-xsYjHgg/edit?usp=sharing"",""งบกองทุน!dc64"")"),0)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IFERROR(__xludf.DUMMYFUNCTION("IMPORTRANGE(""https://docs.google.com/spreadsheets/d/1C3CXT74ZlgGe6_JY_1olB1XN4rF0dxEuIIF-xsYjHgg/edit?usp=sharing"",""งบกองทุน!df64"")"),0)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IFERROR(__xludf.DUMMYFUNCTION("IMPORTRANGE(""https://docs.google.com/spreadsheets/d/1C3CXT74ZlgGe6_JY_1olB1XN4rF0dxEuIIF-xsYjHgg/edit?usp=sharing"",""งบกองทุน!de64"")"),0)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22</v>
      </c>
      <c r="J426" s="257">
        <f t="shared" si="91"/>
        <v>22</v>
      </c>
      <c r="K426" s="258">
        <f ca="1">IF(I426&gt;0,J426*100/I426,0)</f>
        <v>100</v>
      </c>
      <c r="L426" s="259">
        <f t="shared" ref="L426:M426" ca="1" si="92">SUM(L427:L428)</f>
        <v>34340</v>
      </c>
      <c r="M426" s="259">
        <f t="shared" si="92"/>
        <v>20258</v>
      </c>
      <c r="N426" s="259">
        <f t="shared" ref="N426:N430" ca="1" si="93">+IF(L426&gt;0,M426*100/L426,0)</f>
        <v>58.992428654630167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34340</v>
      </c>
      <c r="M428" s="52">
        <f t="shared" si="94"/>
        <v>20258</v>
      </c>
      <c r="N428" s="52">
        <f t="shared" ca="1" si="93"/>
        <v>58.992428654630167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IFERROR(__xludf.DUMMYFUNCTION("IMPORTRANGE(""https://docs.google.com/spreadsheets/d/1C3CXT74ZlgGe6_JY_1olB1XN4rF0dxEuIIF-xsYjHgg/edit?usp=sharing"",""งบกองทุน!dn64"")"),0)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IFERROR(__xludf.DUMMYFUNCTION("IMPORTRANGE(""https://docs.google.com/spreadsheets/d/1C3CXT74ZlgGe6_JY_1olB1XN4rF0dxEuIIF-xsYjHgg/edit?usp=sharing"",""งบกองทุน!do64"")"),34340)</f>
        <v>34340</v>
      </c>
      <c r="M430" s="52">
        <f>SUM(M431:M434)</f>
        <v>20258</v>
      </c>
      <c r="N430" s="52">
        <f t="shared" ca="1" si="93"/>
        <v>58.992428654630167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16828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3430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IFERROR(__xludf.DUMMYFUNCTION("IMPORTRANGE(""https://docs.google.com/spreadsheets/d/1C3CXT74ZlgGe6_JY_1olB1XN4rF0dxEuIIF-xsYjHgg/edit?usp=sharing"",""งบกองทุน!dq64"")"),22)</f>
        <v>22</v>
      </c>
      <c r="J440" s="67">
        <v>22</v>
      </c>
      <c r="K440" s="48">
        <f t="shared" ref="K440:K441" ca="1" si="95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IFERROR(__xludf.DUMMYFUNCTION("IMPORTRANGE(""https://docs.google.com/spreadsheets/d/1C3CXT74ZlgGe6_JY_1olB1XN4rF0dxEuIIF-xsYjHgg/edit?usp=sharing"",""งบกองทุน!dr64"")"),22)</f>
        <v>22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IFERROR(__xludf.DUMMYFUNCTION("IMPORTRANGE(""https://docs.google.com/spreadsheets/d/1C3CXT74ZlgGe6_JY_1olB1XN4rF0dxEuIIF-xsYjHgg/edit?usp=sharing"",""งบกองทุน!dt64"")"),0)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IFERROR(__xludf.DUMMYFUNCTION("IMPORTRANGE(""https://docs.google.com/spreadsheets/d/1C3CXT74ZlgGe6_JY_1olB1XN4rF0dxEuIIF-xsYjHgg/edit?usp=sharing"",""งบกองทุน!du64"")"),0)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IFERROR(__xludf.DUMMYFUNCTION("IMPORTRANGE(""https://docs.google.com/spreadsheets/d/1C3CXT74ZlgGe6_JY_1olB1XN4rF0dxEuIIF-xsYjHgg/edit?usp=sharing"",""งบกองทุน!dw64"")"),0)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IFERROR(__xludf.DUMMYFUNCTION("IMPORTRANGE(""https://docs.google.com/spreadsheets/d/1C3CXT74ZlgGe6_JY_1olB1XN4rF0dxEuIIF-xsYjHgg/edit?usp=sharing"",""งบกองทุน!dx64"")"),0)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IFERROR(__xludf.DUMMYFUNCTION("IMPORTRANGE(""https://docs.google.com/spreadsheets/d/1C3CXT74ZlgGe6_JY_1olB1XN4rF0dxEuIIF-xsYjHgg/edit?usp=sharing"",""งบกองทุน!dy64"")"),0)</f>
        <v>0</v>
      </c>
      <c r="J455" s="66">
        <v>0</v>
      </c>
      <c r="K455" s="48">
        <f t="shared" ca="1" si="100"/>
        <v>0</v>
      </c>
      <c r="L455" s="60"/>
      <c r="M455" s="60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IFERROR(__xludf.DUMMYFUNCTION("IMPORTRANGE(""https://docs.google.com/spreadsheets/d/1C3CXT74ZlgGe6_JY_1olB1XN4rF0dxEuIIF-xsYjHgg/edit?usp=sharing"",""งบกองทุน!dz64"")"),0)</f>
        <v>0</v>
      </c>
      <c r="J456" s="66">
        <v>0</v>
      </c>
      <c r="K456" s="48">
        <f t="shared" ca="1" si="100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700</v>
      </c>
      <c r="J457" s="226">
        <f>+J466</f>
        <v>76</v>
      </c>
      <c r="K457" s="227">
        <f t="shared" ca="1" si="100"/>
        <v>10.857142857142858</v>
      </c>
      <c r="L457" s="228">
        <f t="shared" ref="L457:M457" ca="1" si="101">SUM(L458:L459)</f>
        <v>120720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120720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IFERROR(__xludf.DUMMYFUNCTION("IMPORTRANGE(""https://docs.google.com/spreadsheets/d/1C3CXT74ZlgGe6_JY_1olB1XN4rF0dxEuIIF-xsYjHgg/edit?usp=sharing"",""งบกองทุน!Eb64"")"),0)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IFERROR(__xludf.DUMMYFUNCTION("IMPORTRANGE(""https://docs.google.com/spreadsheets/d/1C3CXT74ZlgGe6_JY_1olB1XN4rF0dxEuIIF-xsYjHgg/edit?usp=sharing"",""งบกองทุน!Ec64"")"),120720)</f>
        <v>120720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IFERROR(__xludf.DUMMYFUNCTION("IMPORTRANGE(""https://docs.google.com/spreadsheets/d/1C3CXT74ZlgGe6_JY_1olB1XN4rF0dxEuIIF-xsYjHgg/edit?usp=sharing"",""งบกองทุน!Ed64"")"),700)</f>
        <v>700</v>
      </c>
      <c r="J466" s="265">
        <f>+J469+J470+J471+J472</f>
        <v>76</v>
      </c>
      <c r="K466" s="79">
        <f ca="1">IF(I466&gt;0,J466*100/I466,0)</f>
        <v>10.857142857142858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76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IFERROR(__xludf.DUMMYFUNCTION("IMPORTRANGE(""https://docs.google.com/spreadsheets/d/1C3CXT74ZlgGe6_JY_1olB1XN4rF0dxEuIIF-xsYjHgg/edit?usp=sharing"",""งบกองทุน!Ek64"")"),0)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IFERROR(__xludf.DUMMYFUNCTION("IMPORTRANGE(""https://docs.google.com/spreadsheets/d/1C3CXT74ZlgGe6_JY_1olB1XN4rF0dxEuIIF-xsYjHgg/edit?usp=sharing"",""งบกองทุน!El64"")"),0)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IFERROR(__xludf.DUMMYFUNCTION("IMPORTRANGE(""https://docs.google.com/spreadsheets/d/1C3CXT74ZlgGe6_JY_1olB1XN4rF0dxEuIIF-xsYjHgg/edit?usp=sharing"",""งบกองทุน!Em64"")"),0)</f>
        <v>0</v>
      </c>
      <c r="J482" s="66">
        <f ca="1">IFERROR(__xludf.DUMMYFUNCTION("IMPORTRANGE(""https://docs.google.com/spreadsheets/d/1AGHcLOeeYFL3K4b9R1dSzyJy00PE_ra89DNTVfnxSWM/edit?usp=sharing"",""รวมที่ชุมชน!G53"")"),0)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IFERROR(__xludf.DUMMYFUNCTION("IMPORTRANGE(""https://docs.google.com/spreadsheets/d/1C3CXT74ZlgGe6_JY_1olB1XN4rF0dxEuIIF-xsYjHgg/edit?usp=sharing"",""งบกองทุน!En64"")"),0)</f>
        <v>0</v>
      </c>
      <c r="J483" s="66">
        <f ca="1">IFERROR(__xludf.DUMMYFUNCTION("IMPORTRANGE(""https://docs.google.com/spreadsheets/d/1AGHcLOeeYFL3K4b9R1dSzyJy00PE_ra89DNTVfnxSWM/edit?usp=sharing"",""รวมที่ชุมชน!H53"")"),0)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IFERROR(__xludf.DUMMYFUNCTION("IMPORTRANGE(""https://docs.google.com/spreadsheets/d/1C3CXT74ZlgGe6_JY_1olB1XN4rF0dxEuIIF-xsYjHgg/edit?usp=sharing"",""งบกองทุน!Eo64"")"),0)</f>
        <v>0</v>
      </c>
      <c r="J484" s="66">
        <f ca="1">IFERROR(__xludf.DUMMYFUNCTION("IMPORTRANGE(""https://docs.google.com/spreadsheets/d/1AGHcLOeeYFL3K4b9R1dSzyJy00PE_ra89DNTVfnxSWM/edit?usp=sharing"",""รวมที่ชุมชน!J53"")"),0)</f>
        <v>0</v>
      </c>
      <c r="K484" s="48">
        <f t="shared" ca="1" si="107"/>
        <v>0</v>
      </c>
      <c r="L484" s="60"/>
      <c r="M484" s="60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IFERROR(__xludf.DUMMYFUNCTION("IMPORTRANGE(""https://docs.google.com/spreadsheets/d/1C3CXT74ZlgGe6_JY_1olB1XN4rF0dxEuIIF-xsYjHgg/edit?usp=sharing"",""งบกองทุน!Ep64"")"),0)</f>
        <v>0</v>
      </c>
      <c r="J485" s="66">
        <f ca="1">IFERROR(__xludf.DUMMYFUNCTION("IMPORTRANGE(""https://docs.google.com/spreadsheets/d/1AGHcLOeeYFL3K4b9R1dSzyJy00PE_ra89DNTVfnxSWM/edit?usp=sharing"",""รวมที่ชุมชน!L53"")"),0)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IFERROR(__xludf.DUMMYFUNCTION("IMPORTRANGE(""https://docs.google.com/spreadsheets/d/1C3CXT74ZlgGe6_JY_1olB1XN4rF0dxEuIIF-xsYjHgg/edit?usp=sharing"",""งบกองทุน!Eq64"")"),0)</f>
        <v>0</v>
      </c>
      <c r="J486" s="66">
        <f ca="1">IFERROR(__xludf.DUMMYFUNCTION("IMPORTRANGE(""https://docs.google.com/spreadsheets/d/1AGHcLOeeYFL3K4b9R1dSzyJy00PE_ra89DNTVfnxSWM/edit?usp=sharing"",""รวมที่ชุมชน!S53"")"),0)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IFERROR(__xludf.DUMMYFUNCTION("IMPORTRANGE(""https://docs.google.com/spreadsheets/d/1C3CXT74ZlgGe6_JY_1olB1XN4rF0dxEuIIF-xsYjHgg/edit?usp=sharing"",""งบกองทุน!Er64"")"),0)</f>
        <v>0</v>
      </c>
      <c r="J487" s="66">
        <f ca="1">IFERROR(__xludf.DUMMYFUNCTION("IMPORTRANGE(""https://docs.google.com/spreadsheets/d/1AGHcLOeeYFL3K4b9R1dSzyJy00PE_ra89DNTVfnxSWM/edit?usp=sharing"",""รวมที่ชุมชน!U53"")"),0)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IFERROR(__xludf.DUMMYFUNCTION("IMPORTRANGE(""https://docs.google.com/spreadsheets/d/1C3CXT74ZlgGe6_JY_1olB1XN4rF0dxEuIIF-xsYjHgg/edit?usp=sharing"",""งบกองทุน!Es64"")"),0)</f>
        <v>0</v>
      </c>
      <c r="J488" s="66">
        <f ca="1">IFERROR(__xludf.DUMMYFUNCTION("IMPORTRANGE(""https://docs.google.com/spreadsheets/d/1AGHcLOeeYFL3K4b9R1dSzyJy00PE_ra89DNTVfnxSWM/edit?usp=sharing"",""รวมที่ชุมชน!V53"")"),0)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IFERROR(__xludf.DUMMYFUNCTION("IMPORTRANGE(""https://docs.google.com/spreadsheets/d/1C3CXT74ZlgGe6_JY_1olB1XN4rF0dxEuIIF-xsYjHgg/edit?usp=sharing"",""งบกองทุน!Et64"")"),0)</f>
        <v>0</v>
      </c>
      <c r="J489" s="111">
        <f ca="1">IFERROR(__xludf.DUMMYFUNCTION("IMPORTRANGE(""https://docs.google.com/spreadsheets/d/1AGHcLOeeYFL3K4b9R1dSzyJy00PE_ra89DNTVfnxSWM/edit?usp=sharing"",""รวมที่ชุมชน!X53"")"),0)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6150</v>
      </c>
      <c r="M490" s="259">
        <f>SUM(M491:M492)</f>
        <v>3400</v>
      </c>
      <c r="N490" s="259">
        <f t="shared" ref="N490:N494" ca="1" si="109">+IF(L490&gt;0,M490*100/L490,0)</f>
        <v>55.284552845528452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6150</v>
      </c>
      <c r="M492" s="52">
        <f t="shared" si="110"/>
        <v>3400</v>
      </c>
      <c r="N492" s="52">
        <f t="shared" ca="1" si="109"/>
        <v>55.284552845528452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IFERROR(__xludf.DUMMYFUNCTION("IMPORTRANGE(""https://docs.google.com/spreadsheets/d/1C3CXT74ZlgGe6_JY_1olB1XN4rF0dxEuIIF-xsYjHgg/edit?usp=sharing"",""งบกองทุน!Ev64"")"),0)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IFERROR(__xludf.DUMMYFUNCTION("IMPORTRANGE(""https://docs.google.com/spreadsheets/d/1C3CXT74ZlgGe6_JY_1olB1XN4rF0dxEuIIF-xsYjHgg/edit?usp=sharing"",""งบกองทุน!Ew64"")"),6150)</f>
        <v>6150</v>
      </c>
      <c r="M494" s="52">
        <f>SUM(M495:M498)</f>
        <v>3400</v>
      </c>
      <c r="N494" s="52">
        <f t="shared" ca="1" si="109"/>
        <v>55.284552845528452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3400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IFERROR(__xludf.DUMMYFUNCTION("IMPORTRANGE(""https://docs.google.com/spreadsheets/d/1C3CXT74ZlgGe6_JY_1olB1XN4rF0dxEuIIF-xsYjHgg/edit?usp=sharing"",""งบกองทุน!EZ64"")"),50)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IFERROR(__xludf.DUMMYFUNCTION("IMPORTRANGE(""https://docs.google.com/spreadsheets/d/1C3CXT74ZlgGe6_JY_1olB1XN4rF0dxEuIIF-xsYjHgg/edit?usp=sharing"",""งบกองทุน!ff64"")"),0)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IFERROR(__xludf.DUMMYFUNCTION("IMPORTRANGE(""https://docs.google.com/spreadsheets/d/1muirlRDkqiswvy_NRZ3Yh955hx-PF6_HhssUYiSJj8o/edit?usp=sharing"",""กองทุน!D64"")"),2500000)</f>
        <v>2500000</v>
      </c>
      <c r="J521" s="199">
        <f ca="1">IFERROR(__xludf.DUMMYFUNCTION("IMPORTRANGE(""https://docs.google.com/spreadsheets/d/1muirlRDkqiswvy_NRZ3Yh955hx-PF6_HhssUYiSJj8o/edit?usp=sharing"",""กองทุน!F64"")"),0)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IFERROR(__xludf.DUMMYFUNCTION("IMPORTRANGE(""https://docs.google.com/spreadsheets/d/1muirlRDkqiswvy_NRZ3Yh955hx-PF6_HhssUYiSJj8o/edit?usp=sharing"",""กองทุน!C64"")"),117)</f>
        <v>117</v>
      </c>
      <c r="J522" s="199">
        <f ca="1">IFERROR(__xludf.DUMMYFUNCTION("IMPORTRANGE(""https://docs.google.com/spreadsheets/d/1muirlRDkqiswvy_NRZ3Yh955hx-PF6_HhssUYiSJj8o/edit?usp=sharing"",""กองทุน!E64"")"),0)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IFERROR(__xludf.DUMMYFUNCTION("IMPORTRANGE(""https://docs.google.com/spreadsheets/d/1muirlRDkqiswvy_NRZ3Yh955hx-PF6_HhssUYiSJj8o/edit?usp=sharing"",""กองทุน!I64"")"),1746021.08)</f>
        <v>1746021.08</v>
      </c>
      <c r="J523" s="199">
        <f ca="1">IFERROR(__xludf.DUMMYFUNCTION("IMPORTRANGE(""https://docs.google.com/spreadsheets/d/1muirlRDkqiswvy_NRZ3Yh955hx-PF6_HhssUYiSJj8o/edit?usp=sharing"",""กองทุน!K64"")"),81102.62)</f>
        <v>81102.62</v>
      </c>
      <c r="K523" s="200">
        <f t="shared" ca="1" si="116"/>
        <v>4.6449966113811181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IFERROR(__xludf.DUMMYFUNCTION("IMPORTRANGE(""https://docs.google.com/spreadsheets/d/1muirlRDkqiswvy_NRZ3Yh955hx-PF6_HhssUYiSJj8o/edit?usp=sharing"",""กองทุน!H64"")"),45)</f>
        <v>45</v>
      </c>
      <c r="J524" s="199">
        <f ca="1">IFERROR(__xludf.DUMMYFUNCTION("IMPORTRANGE(""https://docs.google.com/spreadsheets/d/1muirlRDkqiswvy_NRZ3Yh955hx-PF6_HhssUYiSJj8o/edit?usp=sharing"",""กองทุน!J64"")"),9)</f>
        <v>9</v>
      </c>
      <c r="K524" s="200">
        <f t="shared" ca="1" si="116"/>
        <v>20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IFERROR(__xludf.DUMMYFUNCTION("IMPORTRANGE(""https://docs.google.com/spreadsheets/d/1muirlRDkqiswvy_NRZ3Yh955hx-PF6_HhssUYiSJj8o/edit?usp=sharing"",""กองทุน!N64"")"),0)</f>
        <v>0</v>
      </c>
      <c r="J525" s="199">
        <f ca="1">IFERROR(__xludf.DUMMYFUNCTION("IMPORTRANGE(""https://docs.google.com/spreadsheets/d/1muirlRDkqiswvy_NRZ3Yh955hx-PF6_HhssUYiSJj8o/edit?usp=sharing"",""กองทุน!P64"")"),0)</f>
        <v>0</v>
      </c>
      <c r="K525" s="200">
        <f t="shared" ca="1" si="116"/>
        <v>0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IFERROR(__xludf.DUMMYFUNCTION("IMPORTRANGE(""https://docs.google.com/spreadsheets/d/1muirlRDkqiswvy_NRZ3Yh955hx-PF6_HhssUYiSJj8o/edit?usp=sharing"",""กองทุน!M64"")"),0)</f>
        <v>0</v>
      </c>
      <c r="J526" s="199">
        <f ca="1">IFERROR(__xludf.DUMMYFUNCTION("IMPORTRANGE(""https://docs.google.com/spreadsheets/d/1muirlRDkqiswvy_NRZ3Yh955hx-PF6_HhssUYiSJj8o/edit?usp=sharing"",""กองทุน!O64"")"),0)</f>
        <v>0</v>
      </c>
      <c r="K526" s="200">
        <f t="shared" ca="1" si="116"/>
        <v>0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IFERROR(__xludf.DUMMYFUNCTION("IMPORTRANGE(""https://docs.google.com/spreadsheets/d/1muirlRDkqiswvy_NRZ3Yh955hx-PF6_HhssUYiSJj8o/edit?usp=sharing"",""กองทุน!S64"")"),2000000)</f>
        <v>2000000</v>
      </c>
      <c r="J527" s="199">
        <f ca="1">IFERROR(__xludf.DUMMYFUNCTION("IMPORTRANGE(""https://docs.google.com/spreadsheets/d/1muirlRDkqiswvy_NRZ3Yh955hx-PF6_HhssUYiSJj8o/edit?usp=sharing"",""กองทุน!U64"")"),0)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IFERROR(__xludf.DUMMYFUNCTION("IMPORTRANGE(""https://docs.google.com/spreadsheets/d/1muirlRDkqiswvy_NRZ3Yh955hx-PF6_HhssUYiSJj8o/edit?usp=sharing"",""กองทุน!R64"")"),117)</f>
        <v>117</v>
      </c>
      <c r="J528" s="324">
        <f ca="1">IFERROR(__xludf.DUMMYFUNCTION("IMPORTRANGE(""https://docs.google.com/spreadsheets/d/1muirlRDkqiswvy_NRZ3Yh955hx-PF6_HhssUYiSJj8o/edit?usp=sharing"",""กองทุน!T64"")"),0)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228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8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1336380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IFERROR(__xludf.DUMMYFUNCTION("IMPORTRANGE(""https://docs.google.com/spreadsheets/d/1C3CXT74ZlgGe6_JY_1olB1XN4rF0dxEuIIF-xsYjHgg/edit?usp=sharing"",""พรบ!C65"")"),0)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66"/>
      <c r="J13" s="66"/>
      <c r="K13" s="232"/>
      <c r="L13" s="52">
        <f ca="1">IFERROR(__xludf.DUMMYFUNCTION("IMPORTRANGE(""https://docs.google.com/spreadsheets/d/1C3CXT74ZlgGe6_JY_1olB1XN4rF0dxEuIIF-xsYjHgg/edit?usp=sharing"",""พรบ!D65"")"),0)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66"/>
      <c r="J14" s="66"/>
      <c r="K14" s="232"/>
      <c r="L14" s="52">
        <f ca="1">IFERROR(__xludf.DUMMYFUNCTION("IMPORTRANGE(""https://docs.google.com/spreadsheets/d/1C3CXT74ZlgGe6_JY_1olB1XN4rF0dxEuIIF-xsYjHgg/edit?usp=sharing"",""พรบ!E65"")"),0)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66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66">
        <f ca="1">IFERROR(__xludf.DUMMYFUNCTION("IMPORTRANGE(""https://docs.google.com/spreadsheets/d/1C3CXT74ZlgGe6_JY_1olB1XN4rF0dxEuIIF-xsYjHgg/edit?usp=sharing"",""พรบ!H65"")"),0)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66">
        <f ca="1">IFERROR(__xludf.DUMMYFUNCTION("IMPORTRANGE(""https://docs.google.com/spreadsheets/d/1C3CXT74ZlgGe6_JY_1olB1XN4rF0dxEuIIF-xsYjHgg/edit?usp=sharing"",""พรบ!I65"")"),0)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66">
        <f ca="1">IFERROR(__xludf.DUMMYFUNCTION("IMPORTRANGE(""https://docs.google.com/spreadsheets/d/1C3CXT74ZlgGe6_JY_1olB1XN4rF0dxEuIIF-xsYjHgg/edit?usp=sharing"",""พรบ!J65"")"),0)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66">
        <f ca="1">IFERROR(__xludf.DUMMYFUNCTION("IMPORTRANGE(""https://docs.google.com/spreadsheets/d/1C3CXT74ZlgGe6_JY_1olB1XN4rF0dxEuIIF-xsYjHgg/edit?usp=sharing"",""พรบ!K65"")"),0)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66">
        <f ca="1">IFERROR(__xludf.DUMMYFUNCTION("IMPORTRANGE(""https://docs.google.com/spreadsheets/d/1C3CXT74ZlgGe6_JY_1olB1XN4rF0dxEuIIF-xsYjHgg/edit?usp=sharing"",""พรบ!L65"")"),0)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66">
        <f ca="1">IFERROR(__xludf.DUMMYFUNCTION("IMPORTRANGE(""https://docs.google.com/spreadsheets/d/1C3CXT74ZlgGe6_JY_1olB1XN4rF0dxEuIIF-xsYjHgg/edit?usp=sharing"",""พรบ!M65"")"),0)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66">
        <f ca="1">IFERROR(__xludf.DUMMYFUNCTION("IMPORTRANGE(""https://docs.google.com/spreadsheets/d/1C3CXT74ZlgGe6_JY_1olB1XN4rF0dxEuIIF-xsYjHgg/edit?usp=sharing"",""พรบ!N65"")"),0)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IFERROR(__xludf.DUMMYFUNCTION("IMPORTRANGE(""https://docs.google.com/spreadsheets/d/1C3CXT74ZlgGe6_JY_1olB1XN4rF0dxEuIIF-xsYjHgg/edit?usp=sharing"",""พรบ!O65"")"),0)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IFERROR(__xludf.DUMMYFUNCTION("IMPORTRANGE(""https://docs.google.com/spreadsheets/d/1C3CXT74ZlgGe6_JY_1olB1XN4rF0dxEuIIF-xsYjHgg/edit?usp=sharing"",""พรบ!P65"")"),0)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IFERROR(__xludf.DUMMYFUNCTION("IMPORTRANGE(""https://docs.google.com/spreadsheets/d/1C3CXT74ZlgGe6_JY_1olB1XN4rF0dxEuIIF-xsYjHgg/edit?usp=sharing"",""พรบ!Q65"")"),0)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IFERROR(__xludf.DUMMYFUNCTION("IMPORTRANGE(""https://docs.google.com/spreadsheets/d/1C3CXT74ZlgGe6_JY_1olB1XN4rF0dxEuIIF-xsYjHgg/edit?usp=sharing"",""พรบ!R65"")"),0)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IFERROR(__xludf.DUMMYFUNCTION("IMPORTRANGE(""https://docs.google.com/spreadsheets/d/1C3CXT74ZlgGe6_JY_1olB1XN4rF0dxEuIIF-xsYjHgg/edit?usp=sharing"",""พรบ!S65"")"),0)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IFERROR(__xludf.DUMMYFUNCTION("IMPORTRANGE(""https://docs.google.com/spreadsheets/d/1C3CXT74ZlgGe6_JY_1olB1XN4rF0dxEuIIF-xsYjHgg/edit?usp=sharing"",""พรบ!T65"")"),0)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IFERROR(__xludf.DUMMYFUNCTION("IMPORTRANGE(""https://docs.google.com/spreadsheets/d/1C3CXT74ZlgGe6_JY_1olB1XN4rF0dxEuIIF-xsYjHgg/edit?usp=sharing"",""พรบ!U65"")"),0)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IFERROR(__xludf.DUMMYFUNCTION("IMPORTRANGE(""https://docs.google.com/spreadsheets/d/1C3CXT74ZlgGe6_JY_1olB1XN4rF0dxEuIIF-xsYjHgg/edit?usp=sharing"",""พรบ!V65"")"),0)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IFERROR(__xludf.DUMMYFUNCTION("IMPORTRANGE(""https://docs.google.com/spreadsheets/d/1C3CXT74ZlgGe6_JY_1olB1XN4rF0dxEuIIF-xsYjHgg/edit?usp=sharing"",""พรบ!W65"")"),0)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IFERROR(__xludf.DUMMYFUNCTION("IMPORTRANGE(""https://docs.google.com/spreadsheets/d/1C3CXT74ZlgGe6_JY_1olB1XN4rF0dxEuIIF-xsYjHgg/edit?usp=sharing"",""พรบ!Y65"")"),0)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IFERROR(__xludf.DUMMYFUNCTION("IMPORTRANGE(""https://docs.google.com/spreadsheets/d/1C3CXT74ZlgGe6_JY_1olB1XN4rF0dxEuIIF-xsYjHgg/edit?usp=sharing"",""พรบ!Z65"")"),0)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IFERROR(__xludf.DUMMYFUNCTION("IMPORTRANGE(""https://docs.google.com/spreadsheets/d/1C3CXT74ZlgGe6_JY_1olB1XN4rF0dxEuIIF-xsYjHgg/edit?usp=sharing"",""พรบ!AA65"")"),0)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20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569800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569800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IFERROR(__xludf.DUMMYFUNCTION("IMPORTRANGE(""https://docs.google.com/spreadsheets/d/1C3CXT74ZlgGe6_JY_1olB1XN4rF0dxEuIIF-xsYjHgg/edit?usp=sharing"",""พรบ!AD65"")"),305000)</f>
        <v>305000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264800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IFERROR(__xludf.DUMMYFUNCTION("IMPORTRANGE(""https://docs.google.com/spreadsheets/d/1C3CXT74ZlgGe6_JY_1olB1XN4rF0dxEuIIF-xsYjHgg/edit?usp=sharing"",""พรบ!AF65"")"),7500)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IFERROR(__xludf.DUMMYFUNCTION("IMPORTRANGE(""https://docs.google.com/spreadsheets/d/1C3CXT74ZlgGe6_JY_1olB1XN4rF0dxEuIIF-xsYjHgg/edit?usp=sharing"",""พรบ!AG65"")"),4)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IFERROR(__xludf.DUMMYFUNCTION("IMPORTRANGE(""https://docs.google.com/spreadsheets/d/1C3CXT74ZlgGe6_JY_1olB1XN4rF0dxEuIIF-xsYjHgg/edit?usp=sharing"",""พรบ!AH65"")"),42000)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1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0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0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0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IFERROR(__xludf.DUMMYFUNCTION("IMPORTRANGE(""https://docs.google.com/spreadsheets/d/1C3CXT74ZlgGe6_JY_1olB1XN4rF0dxEuIIF-xsYjHgg/edit?usp=sharing"",""พรบ!AI65"")"),3)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IFERROR(__xludf.DUMMYFUNCTION("IMPORTRANGE(""https://docs.google.com/spreadsheets/d/1C3CXT74ZlgGe6_JY_1olB1XN4rF0dxEuIIF-xsYjHgg/edit?usp=sharing"",""กปร!C65"")"),36000)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IFERROR(__xludf.DUMMYFUNCTION("IMPORTRANGE(""https://docs.google.com/spreadsheets/d/1C3CXT74ZlgGe6_JY_1olB1XN4rF0dxEuIIF-xsYjHgg/edit?usp=sharing"",""พรบ!AJ65"")"),0)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IFERROR(__xludf.DUMMYFUNCTION("IMPORTRANGE(""https://docs.google.com/spreadsheets/d/1C3CXT74ZlgGe6_JY_1olB1XN4rF0dxEuIIF-xsYjHgg/edit?usp=sharing"",""พรบ!AK65"")"),0)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IFERROR(__xludf.DUMMYFUNCTION("IMPORTRANGE(""https://docs.google.com/spreadsheets/d/1C3CXT74ZlgGe6_JY_1olB1XN4rF0dxEuIIF-xsYjHgg/edit?usp=sharing"",""กปร!D65"")"),0)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IFERROR(__xludf.DUMMYFUNCTION("IMPORTRANGE(""https://docs.google.com/spreadsheets/d/1C3CXT74ZlgGe6_JY_1olB1XN4rF0dxEuIIF-xsYjHgg/edit?usp=sharing"",""พรบ!AL65"")"),0)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IFERROR(__xludf.DUMMYFUNCTION("IMPORTRANGE(""https://docs.google.com/spreadsheets/d/1C3CXT74ZlgGe6_JY_1olB1XN4rF0dxEuIIF-xsYjHgg/edit?usp=sharing"",""กปร!E65"")"),0)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30000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14500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14500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IFERROR(__xludf.DUMMYFUNCTION("IMPORTRANGE(""https://docs.google.com/spreadsheets/d/1C3CXT74ZlgGe6_JY_1olB1XN4rF0dxEuIIF-xsYjHgg/edit?usp=sharing"",""พรบ!AM65"")"),14500)</f>
        <v>14500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1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0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0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0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IFERROR(__xludf.DUMMYFUNCTION("IMPORTRANGE(""https://docs.google.com/spreadsheets/d/1C3CXT74ZlgGe6_JY_1olB1XN4rF0dxEuIIF-xsYjHgg/edit?usp=sharing"",""พรบ!AO65"")"),30000)</f>
        <v>30000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IFERROR(__xludf.DUMMYFUNCTION("IMPORTRANGE(""https://docs.google.com/spreadsheets/d/1C3CXT74ZlgGe6_JY_1olB1XN4rF0dxEuIIF-xsYjHgg/edit?usp=sharing"",""พรบ!AP65"")"),30000)</f>
        <v>30000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IFERROR(__xludf.DUMMYFUNCTION("IMPORTRANGE(""https://docs.google.com/spreadsheets/d/1C3CXT74ZlgGe6_JY_1olB1XN4rF0dxEuIIF-xsYjHgg/edit?usp=sharing"",""กปร!F65"")"),8500)</f>
        <v>8500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IFERROR(__xludf.DUMMYFUNCTION("IMPORTRANGE(""https://docs.google.com/spreadsheets/d/1C3CXT74ZlgGe6_JY_1olB1XN4rF0dxEuIIF-xsYjHgg/edit?usp=sharing"",""พรบ!AQ65"")"),0)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IFERROR(__xludf.DUMMYFUNCTION("IMPORTRANGE(""https://docs.google.com/spreadsheets/d/1C3CXT74ZlgGe6_JY_1olB1XN4rF0dxEuIIF-xsYjHgg/edit?usp=sharing"",""กปร!G65"")"),0)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229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20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200800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200800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IFERROR(__xludf.DUMMYFUNCTION("IMPORTRANGE(""https://docs.google.com/spreadsheets/d/1C3CXT74ZlgGe6_JY_1olB1XN4rF0dxEuIIF-xsYjHgg/edit?usp=sharing"",""พรบ!AR65"")"),200800)</f>
        <v>200800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0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0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IFERROR(__xludf.DUMMYFUNCTION("IMPORTRANGE(""https://docs.google.com/spreadsheets/d/1C3CXT74ZlgGe6_JY_1olB1XN4rF0dxEuIIF-xsYjHgg/edit?usp=sharing"",""พรบ!AS65"")"),20)</f>
        <v>20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IFERROR(__xludf.DUMMYFUNCTION("IMPORTRANGE(""https://docs.google.com/spreadsheets/d/1C3CXT74ZlgGe6_JY_1olB1XN4rF0dxEuIIF-xsYjHgg/edit?usp=sharing"",""กปร!H65"")"),29800)</f>
        <v>29800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IFERROR(__xludf.DUMMYFUNCTION("IMPORTRANGE(""https://docs.google.com/spreadsheets/d/1C3CXT74ZlgGe6_JY_1olB1XN4rF0dxEuIIF-xsYjHgg/edit?usp=sharing"",""พรบ!AT65"")"),1)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IFERROR(__xludf.DUMMYFUNCTION("IMPORTRANGE(""https://docs.google.com/spreadsheets/d/1C3CXT74ZlgGe6_JY_1olB1XN4rF0dxEuIIF-xsYjHgg/edit?usp=sharing"",""กปร!I65"")"),0)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IFERROR(__xludf.DUMMYFUNCTION("IMPORTRANGE(""https://docs.google.com/spreadsheets/d/1C3CXT74ZlgGe6_JY_1olB1XN4rF0dxEuIIF-xsYjHgg/edit?usp=sharing"",""พรบ!AU65"")"),0)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IFERROR(__xludf.DUMMYFUNCTION("IMPORTRANGE(""https://docs.google.com/spreadsheets/d/1C3CXT74ZlgGe6_JY_1olB1XN4rF0dxEuIIF-xsYjHgg/edit?usp=sharing"",""กปร!J65"")"),10000)</f>
        <v>10000</v>
      </c>
      <c r="M141" s="361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0</v>
      </c>
      <c r="J144" s="136">
        <f t="shared" si="36"/>
        <v>0</v>
      </c>
      <c r="K144" s="137">
        <f ca="1">IF(I144&gt;0,J144*100/I144,0)</f>
        <v>0</v>
      </c>
      <c r="L144" s="138">
        <f ca="1">L145+L146</f>
        <v>0</v>
      </c>
      <c r="M144" s="138">
        <f>SUM(M145:M146)</f>
        <v>0</v>
      </c>
      <c r="N144" s="137">
        <f ca="1">IF(L144&gt;0,M144*100/L144,0)</f>
        <v>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0</v>
      </c>
      <c r="M146" s="49">
        <f t="shared" si="38"/>
        <v>0</v>
      </c>
      <c r="N146" s="49">
        <f t="shared" ca="1" si="37"/>
        <v>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IFERROR(__xludf.DUMMYFUNCTION("IMPORTRANGE(""https://docs.google.com/spreadsheets/d/1C3CXT74ZlgGe6_JY_1olB1XN4rF0dxEuIIF-xsYjHgg/edit?usp=sharing"",""พรบ!AY65"")"),0)</f>
        <v>0</v>
      </c>
      <c r="M148" s="52">
        <v>0</v>
      </c>
      <c r="N148" s="52">
        <f t="shared" ca="1" si="37"/>
        <v>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0</v>
      </c>
      <c r="J149" s="136">
        <f>+J155</f>
        <v>0</v>
      </c>
      <c r="K149" s="137">
        <f ca="1">IF(I149&gt;0,J149*100/I149,0)</f>
        <v>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66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6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6">
        <v>0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6">
        <v>0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6">
        <v>0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IFERROR(__xludf.DUMMYFUNCTION("IMPORTRANGE(""https://docs.google.com/spreadsheets/d/1C3CXT74ZlgGe6_JY_1olB1XN4rF0dxEuIIF-xsYjHgg/edit?usp=sharing"",""พรบ!BA65"")"),0)</f>
        <v>0</v>
      </c>
      <c r="J155" s="66">
        <v>0</v>
      </c>
      <c r="K155" s="48">
        <f ca="1">IF(I155&gt;0,J155*100/I155,0)</f>
        <v>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6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356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IFERROR(__xludf.DUMMYFUNCTION("IMPORTRANGE(""https://docs.google.com/spreadsheets/d/1C3CXT74ZlgGe6_JY_1olB1XN4rF0dxEuIIF-xsYjHgg/edit?usp=sharing"",""พรบ!BD65"")"),0)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IFERROR(__xludf.DUMMYFUNCTION("IMPORTRANGE(""https://docs.google.com/spreadsheets/d/1C3CXT74ZlgGe6_JY_1olB1XN4rF0dxEuIIF-xsYjHgg/edit?usp=sharing"",""พรบ!BE65"")"),0)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IFERROR(__xludf.DUMMYFUNCTION("IMPORTRANGE(""https://docs.google.com/spreadsheets/d/1C3CXT74ZlgGe6_JY_1olB1XN4rF0dxEuIIF-xsYjHgg/edit?usp=sharing"",""พรบ!BF65"")"),0)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IFERROR(__xludf.DUMMYFUNCTION("IMPORTRANGE(""https://docs.google.com/spreadsheets/d/1C3CXT74ZlgGe6_JY_1olB1XN4rF0dxEuIIF-xsYjHgg/edit?usp=sharing"",""พรบ!BG65"")"),0)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IFERROR(__xludf.DUMMYFUNCTION("IMPORTRANGE(""https://docs.google.com/spreadsheets/d/1C3CXT74ZlgGe6_JY_1olB1XN4rF0dxEuIIF-xsYjHgg/edit?usp=sharing"",""พรบ!BH65"")"),0)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IFERROR(__xludf.DUMMYFUNCTION("IMPORTRANGE(""https://docs.google.com/spreadsheets/d/1C3CXT74ZlgGe6_JY_1olB1XN4rF0dxEuIIF-xsYjHgg/edit?usp=sharing"",""พรบ!BI65"")"),0)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15</v>
      </c>
      <c r="J185" s="177">
        <f>+J195</f>
        <v>0</v>
      </c>
      <c r="K185" s="178">
        <f ca="1">IF(I185&gt;0,J185*100/I185,0)</f>
        <v>0</v>
      </c>
      <c r="L185" s="179">
        <f ca="1">L186+L187</f>
        <v>55200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47"/>
      <c r="K186" s="48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47"/>
      <c r="K187" s="48"/>
      <c r="L187" s="49">
        <f t="shared" ref="L187:M187" ca="1" si="43">SUM(L188:L189)</f>
        <v>55200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47"/>
      <c r="K188" s="48"/>
      <c r="L188" s="52">
        <f ca="1">IFERROR(__xludf.DUMMYFUNCTION("IMPORTRANGE(""https://docs.google.com/spreadsheets/d/1C3CXT74ZlgGe6_JY_1olB1XN4rF0dxEuIIF-xsYjHgg/edit?usp=sharing"",""พรบ!BK65"")"),0)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47"/>
      <c r="K189" s="48"/>
      <c r="L189" s="52">
        <f ca="1">IFERROR(__xludf.DUMMYFUNCTION("IMPORTRANGE(""https://docs.google.com/spreadsheets/d/1C3CXT74ZlgGe6_JY_1olB1XN4rF0dxEuIIF-xsYjHgg/edit?usp=sharing"",""พรบ!BL65"")"),55200)</f>
        <v>55200</v>
      </c>
      <c r="M189" s="53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47"/>
      <c r="K190" s="48"/>
      <c r="L190" s="60"/>
      <c r="M190" s="60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7">
        <v>0</v>
      </c>
      <c r="K191" s="48"/>
      <c r="L191" s="60"/>
      <c r="M191" s="60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7">
        <v>1</v>
      </c>
      <c r="K192" s="48"/>
      <c r="L192" s="60"/>
      <c r="M192" s="60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7">
        <v>0</v>
      </c>
      <c r="K193" s="48"/>
      <c r="L193" s="60"/>
      <c r="M193" s="60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7">
        <v>0</v>
      </c>
      <c r="K194" s="48"/>
      <c r="L194" s="60"/>
      <c r="M194" s="60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IFERROR(__xludf.DUMMYFUNCTION("IMPORTRANGE(""https://docs.google.com/spreadsheets/d/1C3CXT74ZlgGe6_JY_1olB1XN4rF0dxEuIIF-xsYjHgg/edit?usp=sharing"",""พรบ!BM65"")"),15)</f>
        <v>15</v>
      </c>
      <c r="J195" s="67">
        <v>0</v>
      </c>
      <c r="K195" s="48">
        <f ca="1">IF(I195&gt;0,J195*100/I195,0)</f>
        <v>0</v>
      </c>
      <c r="L195" s="60"/>
      <c r="M195" s="60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7">
        <v>0</v>
      </c>
      <c r="K196" s="48"/>
      <c r="L196" s="60"/>
      <c r="M196" s="60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84">
        <v>0</v>
      </c>
      <c r="K197" s="48"/>
      <c r="L197" s="60"/>
      <c r="M197" s="60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47"/>
      <c r="K200" s="48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47"/>
      <c r="K201" s="48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47"/>
      <c r="K202" s="48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IFERROR(__xludf.DUMMYFUNCTION("IMPORTRANGE(""https://docs.google.com/spreadsheets/d/1C3CXT74ZlgGe6_JY_1olB1XN4rF0dxEuIIF-xsYjHgg/edit?usp=sharing"",""พรบ!BP65"")"),0)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IFERROR(__xludf.DUMMYFUNCTION("IMPORTRANGE(""https://docs.google.com/spreadsheets/d/1C3CXT74ZlgGe6_JY_1olB1XN4rF0dxEuIIF-xsYjHgg/edit?usp=sharing"",""พรบ!BQ65"")"),0)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IFERROR(__xludf.DUMMYFUNCTION("IMPORTRANGE(""https://docs.google.com/spreadsheets/d/1C3CXT74ZlgGe6_JY_1olB1XN4rF0dxEuIIF-xsYjHgg/edit?usp=sharing"",""พรบ!BR65"")"),0)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66"/>
      <c r="K215" s="232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66"/>
      <c r="K216" s="232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IFERROR(__xludf.DUMMYFUNCTION("IMPORTRANGE(""https://docs.google.com/spreadsheets/d/1C3CXT74ZlgGe6_JY_1olB1XN4rF0dxEuIIF-xsYjHgg/edit?usp=sharing"",""พรบ!BU65"")"),0)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52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52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52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52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52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IFERROR(__xludf.DUMMYFUNCTION("IMPORTRANGE(""https://docs.google.com/spreadsheets/d/1C3CXT74ZlgGe6_JY_1olB1XN4rF0dxEuIIF-xsYjHgg/edit?usp=sharing"",""พรบ!BV65"")"),0)</f>
        <v>0</v>
      </c>
      <c r="J224" s="66">
        <v>0</v>
      </c>
      <c r="K224" s="232">
        <f ca="1">IF(I224&gt;0,J224*100/I224,0)</f>
        <v>0</v>
      </c>
      <c r="L224" s="52"/>
      <c r="M224" s="52"/>
      <c r="N224" s="52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52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52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711380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711380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IFERROR(__xludf.DUMMYFUNCTION("IMPORTRANGE(""https://docs.google.com/spreadsheets/d/1C3CXT74ZlgGe6_JY_1olB1XN4rF0dxEuIIF-xsYjHgg/edit?usp=sharing"",""พรบ!BX65"")"),529200)</f>
        <v>529200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IFERROR(__xludf.DUMMYFUNCTION("IMPORTRANGE(""https://docs.google.com/spreadsheets/d/1C3CXT74ZlgGe6_JY_1olB1XN4rF0dxEuIIF-xsYjHgg/edit?usp=sharing"",""พรบ!BY65"")"),182180)</f>
        <v>182180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IFERROR(__xludf.DUMMYFUNCTION("IMPORTRANGE(""https://docs.google.com/spreadsheets/d/1AGHcLOeeYFL3K4b9R1dSzyJy00PE_ra89DNTVfnxSWM/edit?usp=sharing"",""รวมที่ทำกิน!J54"")"),0)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IFERROR(__xludf.DUMMYFUNCTION("IMPORTRANGE(""https://docs.google.com/spreadsheets/d/1C3CXT74ZlgGe6_JY_1olB1XN4rF0dxEuIIF-xsYjHgg/edit?usp=sharing"",""พรบ!BZ65"")"),0)</f>
        <v>0</v>
      </c>
      <c r="J235" s="66">
        <f ca="1">IFERROR(__xludf.DUMMYFUNCTION("IMPORTRANGE(""https://docs.google.com/spreadsheets/d/1AGHcLOeeYFL3K4b9R1dSzyJy00PE_ra89DNTVfnxSWM/edit?usp=sharing"",""รวมที่ทำกิน!L54"")"),0)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IFERROR(__xludf.DUMMYFUNCTION("IMPORTRANGE(""https://docs.google.com/spreadsheets/d/1C3CXT74ZlgGe6_JY_1olB1XN4rF0dxEuIIF-xsYjHgg/edit?usp=sharing"",""พรบ!CA65"")"),0)</f>
        <v>0</v>
      </c>
      <c r="J236" s="66">
        <f ca="1">IFERROR(__xludf.DUMMYFUNCTION("IMPORTRANGE(""https://docs.google.com/spreadsheets/d/1AGHcLOeeYFL3K4b9R1dSzyJy00PE_ra89DNTVfnxSWM/edit?usp=sharing"",""รวมที่ทำกิน!O54"")"),0)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IFERROR(__xludf.DUMMYFUNCTION("IMPORTRANGE(""https://docs.google.com/spreadsheets/d/1AGHcLOeeYFL3K4b9R1dSzyJy00PE_ra89DNTVfnxSWM/edit?usp=sharing"",""รวมที่ทำกิน!Q54"")"),0)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IFERROR(__xludf.DUMMYFUNCTION("IMPORTRANGE(""https://docs.google.com/spreadsheets/d/1C3CXT74ZlgGe6_JY_1olB1XN4rF0dxEuIIF-xsYjHgg/edit?usp=sharing"",""พรบ!CB65"")"),0)</f>
        <v>0</v>
      </c>
      <c r="J238" s="66">
        <f ca="1">IFERROR(__xludf.DUMMYFUNCTION("IMPORTRANGE(""https://docs.google.com/spreadsheets/d/1AGHcLOeeYFL3K4b9R1dSzyJy00PE_ra89DNTVfnxSWM/edit?usp=sharing"",""รวมที่ทำกิน!S54"")"),0)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IFERROR(__xludf.DUMMYFUNCTION("IMPORTRANGE(""https://docs.google.com/spreadsheets/d/1AGHcLOeeYFL3K4b9R1dSzyJy00PE_ra89DNTVfnxSWM/edit?usp=sharing"",""รวมที่ทำกิน!U54"")"),0)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IFERROR(__xludf.DUMMYFUNCTION("IMPORTRANGE(""https://docs.google.com/spreadsheets/d/1C3CXT74ZlgGe6_JY_1olB1XN4rF0dxEuIIF-xsYjHgg/edit?usp=sharing"",""พรบ!CC65"")"),0)</f>
        <v>0</v>
      </c>
      <c r="J240" s="66">
        <f ca="1">IFERROR(__xludf.DUMMYFUNCTION("IMPORTRANGE(""https://docs.google.com/spreadsheets/d/1AGHcLOeeYFL3K4b9R1dSzyJy00PE_ra89DNTVfnxSWM/edit?usp=sharing"",""รวมที่ทำกิน!W54"")"),0)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IFERROR(__xludf.DUMMYFUNCTION("IMPORTRANGE(""https://docs.google.com/spreadsheets/d/1AGHcLOeeYFL3K4b9R1dSzyJy00PE_ra89DNTVfnxSWM/edit?usp=sharing"",""รวมที่ทำกิน!Y54"")"),0)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781810</v>
      </c>
      <c r="M242" s="213">
        <f t="shared" si="53"/>
        <v>0</v>
      </c>
      <c r="N242" s="213">
        <f ca="1">+IF(L242&gt;0,M242*100/L242,0)</f>
        <v>0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25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78920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15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78920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IFERROR(__xludf.DUMMYFUNCTION("IMPORTRANGE(""https://docs.google.com/spreadsheets/d/1C3CXT74ZlgGe6_JY_1olB1XN4rF0dxEuIIF-xsYjHgg/edit?usp=sharing"",""งบกองทุน!d65"")"),0)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IFERROR(__xludf.DUMMYFUNCTION("IMPORTRANGE(""https://docs.google.com/spreadsheets/d/1C3CXT74ZlgGe6_JY_1olB1XN4rF0dxEuIIF-xsYjHgg/edit?usp=sharing"",""งบกองทุน!e65"")"),78920)</f>
        <v>78920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3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3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3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3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47"/>
      <c r="K254" s="48"/>
      <c r="L254" s="60"/>
      <c r="M254" s="60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7">
        <v>0</v>
      </c>
      <c r="K255" s="48"/>
      <c r="L255" s="60"/>
      <c r="M255" s="60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7">
        <v>1</v>
      </c>
      <c r="K256" s="48"/>
      <c r="L256" s="60" t="s">
        <v>21</v>
      </c>
      <c r="M256" s="60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7">
        <v>0</v>
      </c>
      <c r="K257" s="48"/>
      <c r="L257" s="60"/>
      <c r="M257" s="60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7">
        <v>0</v>
      </c>
      <c r="K258" s="48"/>
      <c r="L258" s="60"/>
      <c r="M258" s="60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48"/>
      <c r="L259" s="60"/>
      <c r="M259" s="60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IFERROR(__xludf.DUMMYFUNCTION("IMPORTRANGE(""https://docs.google.com/spreadsheets/d/1C3CXT74ZlgGe6_JY_1olB1XN4rF0dxEuIIF-xsYjHgg/edit?usp=sharing"",""งบกองทุน!f65"")"),0)</f>
        <v>0</v>
      </c>
      <c r="J260" s="66">
        <v>0</v>
      </c>
      <c r="K260" s="48">
        <f ca="1">IF(I260&gt;0,J260*100/I260,0)</f>
        <v>0</v>
      </c>
      <c r="L260" s="60"/>
      <c r="M260" s="60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48"/>
      <c r="L261" s="60"/>
      <c r="M261" s="60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25</v>
      </c>
      <c r="J262" s="66">
        <f t="shared" si="59"/>
        <v>0</v>
      </c>
      <c r="K262" s="48">
        <f t="shared" ref="K262:K268" ca="1" si="60">IF(I262&gt;0,J262*100/I262,0)</f>
        <v>0</v>
      </c>
      <c r="L262" s="60"/>
      <c r="M262" s="60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IFERROR(__xludf.DUMMYFUNCTION("IMPORTRANGE(""https://docs.google.com/spreadsheets/d/1C3CXT74ZlgGe6_JY_1olB1XN4rF0dxEuIIF-xsYjHgg/edit?usp=sharing"",""งบกองทุน!H65"")"),15)</f>
        <v>15</v>
      </c>
      <c r="J263" s="66">
        <f>J267</f>
        <v>0</v>
      </c>
      <c r="K263" s="48">
        <f t="shared" ca="1" si="60"/>
        <v>0</v>
      </c>
      <c r="L263" s="60"/>
      <c r="M263" s="60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IFERROR(__xludf.DUMMYFUNCTION("IMPORTRANGE(""https://docs.google.com/spreadsheets/d/1C3CXT74ZlgGe6_JY_1olB1XN4rF0dxEuIIF-xsYjHgg/edit?usp=sharing"",""งบกองทุน!i65"")"),5)</f>
        <v>5</v>
      </c>
      <c r="J264" s="67">
        <v>0</v>
      </c>
      <c r="K264" s="48">
        <f t="shared" ca="1" si="60"/>
        <v>0</v>
      </c>
      <c r="L264" s="60"/>
      <c r="M264" s="60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15</v>
      </c>
      <c r="J265" s="67">
        <v>0</v>
      </c>
      <c r="K265" s="48">
        <f t="shared" ca="1" si="60"/>
        <v>0</v>
      </c>
      <c r="L265" s="60"/>
      <c r="M265" s="60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IFERROR(__xludf.DUMMYFUNCTION("IMPORTRANGE(""https://docs.google.com/spreadsheets/d/1C3CXT74ZlgGe6_JY_1olB1XN4rF0dxEuIIF-xsYjHgg/edit?usp=sharing"",""งบกองทุน!k65"")"),20)</f>
        <v>20</v>
      </c>
      <c r="J266" s="67">
        <v>0</v>
      </c>
      <c r="K266" s="48">
        <f t="shared" ca="1" si="60"/>
        <v>0</v>
      </c>
      <c r="L266" s="60"/>
      <c r="M266" s="60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15</v>
      </c>
      <c r="J267" s="67">
        <v>0</v>
      </c>
      <c r="K267" s="48">
        <f t="shared" ca="1" si="60"/>
        <v>0</v>
      </c>
      <c r="L267" s="60"/>
      <c r="M267" s="60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IFERROR(__xludf.DUMMYFUNCTION("IMPORTRANGE(""https://docs.google.com/spreadsheets/d/1C3CXT74ZlgGe6_JY_1olB1XN4rF0dxEuIIF-xsYjHgg/edit?usp=sharing"",""งบกองทุน!m65"")"),0)</f>
        <v>0</v>
      </c>
      <c r="J268" s="66">
        <v>0</v>
      </c>
      <c r="K268" s="48">
        <f t="shared" ca="1" si="60"/>
        <v>0</v>
      </c>
      <c r="L268" s="60"/>
      <c r="M268" s="60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48"/>
      <c r="L269" s="60"/>
      <c r="M269" s="60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25</v>
      </c>
      <c r="J270" s="66">
        <f t="shared" si="61"/>
        <v>0</v>
      </c>
      <c r="K270" s="48">
        <f t="shared" ref="K270:K272" ca="1" si="62">IF(I270&gt;0,J270*100/I270,0)</f>
        <v>0</v>
      </c>
      <c r="L270" s="60"/>
      <c r="M270" s="60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IFERROR(__xludf.DUMMYFUNCTION("IMPORTRANGE(""https://docs.google.com/spreadsheets/d/1C3CXT74ZlgGe6_JY_1olB1XN4rF0dxEuIIF-xsYjHgg/edit?usp=sharing"",""งบกองทุน!o65"")"),20)</f>
        <v>20</v>
      </c>
      <c r="J271" s="67">
        <v>0</v>
      </c>
      <c r="K271" s="48">
        <f t="shared" ca="1" si="62"/>
        <v>0</v>
      </c>
      <c r="L271" s="60"/>
      <c r="M271" s="60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IFERROR(__xludf.DUMMYFUNCTION("IMPORTRANGE(""https://docs.google.com/spreadsheets/d/1C3CXT74ZlgGe6_JY_1olB1XN4rF0dxEuIIF-xsYjHgg/edit?usp=sharing"",""งบกองทุน!p65"")"),5)</f>
        <v>5</v>
      </c>
      <c r="J272" s="67">
        <v>0</v>
      </c>
      <c r="K272" s="48">
        <f t="shared" ca="1" si="62"/>
        <v>0</v>
      </c>
      <c r="L272" s="60"/>
      <c r="M272" s="60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7">
        <v>0</v>
      </c>
      <c r="K273" s="48"/>
      <c r="L273" s="60"/>
      <c r="M273" s="60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84">
        <v>0</v>
      </c>
      <c r="K274" s="48"/>
      <c r="L274" s="60"/>
      <c r="M274" s="60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50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87710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5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87710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IFERROR(__xludf.DUMMYFUNCTION("IMPORTRANGE(""https://docs.google.com/spreadsheets/d/1C3CXT74ZlgGe6_JY_1olB1XN4rF0dxEuIIF-xsYjHgg/edit?usp=sharing"",""งบกองทุน!r65"")"),0)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IFERROR(__xludf.DUMMYFUNCTION("IMPORTRANGE(""https://docs.google.com/spreadsheets/d/1C3CXT74ZlgGe6_JY_1olB1XN4rF0dxEuIIF-xsYjHgg/edit?usp=sharing"",""งบกองทุน!s65"")"),87710)</f>
        <v>87710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3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3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3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3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47"/>
      <c r="K285" s="48"/>
      <c r="L285" s="60"/>
      <c r="M285" s="60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7">
        <v>0</v>
      </c>
      <c r="K286" s="48"/>
      <c r="L286" s="60"/>
      <c r="M286" s="60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7">
        <v>1</v>
      </c>
      <c r="K287" s="48"/>
      <c r="L287" s="60" t="s">
        <v>21</v>
      </c>
      <c r="M287" s="60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7">
        <v>0</v>
      </c>
      <c r="K288" s="48"/>
      <c r="L288" s="60"/>
      <c r="M288" s="60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7">
        <v>0</v>
      </c>
      <c r="K289" s="48"/>
      <c r="L289" s="60"/>
      <c r="M289" s="60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48"/>
      <c r="L290" s="60"/>
      <c r="M290" s="60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IFERROR(__xludf.DUMMYFUNCTION("IMPORTRANGE(""https://docs.google.com/spreadsheets/d/1C3CXT74ZlgGe6_JY_1olB1XN4rF0dxEuIIF-xsYjHgg/edit?usp=sharing"",""งบกองทุน!v65"")"),5)</f>
        <v>5</v>
      </c>
      <c r="J291" s="67">
        <v>0</v>
      </c>
      <c r="K291" s="48">
        <f t="shared" ref="K291:K293" ca="1" si="67">IF(I291&gt;0,J291*100/I291,0)</f>
        <v>0</v>
      </c>
      <c r="L291" s="60"/>
      <c r="M291" s="60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IFERROR(__xludf.DUMMYFUNCTION("IMPORTRANGE(""https://docs.google.com/spreadsheets/d/1C3CXT74ZlgGe6_JY_1olB1XN4rF0dxEuIIF-xsYjHgg/edit?usp=sharing"",""งบกองทุน!w65"")"),50)</f>
        <v>50</v>
      </c>
      <c r="J292" s="67">
        <v>0</v>
      </c>
      <c r="K292" s="48">
        <f t="shared" ca="1" si="67"/>
        <v>0</v>
      </c>
      <c r="L292" s="60"/>
      <c r="M292" s="60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IFERROR(__xludf.DUMMYFUNCTION("IMPORTRANGE(""https://docs.google.com/spreadsheets/d/1C3CXT74ZlgGe6_JY_1olB1XN4rF0dxEuIIF-xsYjHgg/edit?usp=sharing"",""งบกองทุน!x65"")"),5)</f>
        <v>5</v>
      </c>
      <c r="J293" s="67">
        <v>0</v>
      </c>
      <c r="K293" s="48">
        <f t="shared" ca="1" si="67"/>
        <v>0</v>
      </c>
      <c r="L293" s="60"/>
      <c r="M293" s="60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7">
        <v>0</v>
      </c>
      <c r="K294" s="48"/>
      <c r="L294" s="60"/>
      <c r="M294" s="60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84">
        <v>0</v>
      </c>
      <c r="K295" s="48"/>
      <c r="L295" s="60"/>
      <c r="M295" s="60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204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229370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68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229370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IFERROR(__xludf.DUMMYFUNCTION("IMPORTRANGE(""https://docs.google.com/spreadsheets/d/1C3CXT74ZlgGe6_JY_1olB1XN4rF0dxEuIIF-xsYjHgg/edit?usp=sharing"",""งบกองทุน!z65"")"),0)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IFERROR(__xludf.DUMMYFUNCTION("IMPORTRANGE(""https://docs.google.com/spreadsheets/d/1C3CXT74ZlgGe6_JY_1olB1XN4rF0dxEuIIF-xsYjHgg/edit?usp=sharing"",""งบกองทุน!aa65"")"),229370)</f>
        <v>229370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0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0</v>
      </c>
      <c r="K310" s="48"/>
      <c r="L310" s="60"/>
      <c r="M310" s="60"/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68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IFERROR(__xludf.DUMMYFUNCTION("IMPORTRANGE(""https://docs.google.com/spreadsheets/d/1C3CXT74ZlgGe6_JY_1olB1XN4rF0dxEuIIF-xsYjHgg/edit?usp=sharing"",""งบกองทุน!ae65"")"),30)</f>
        <v>30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IFERROR(__xludf.DUMMYFUNCTION("IMPORTRANGE(""https://docs.google.com/spreadsheets/d/1C3CXT74ZlgGe6_JY_1olB1XN4rF0dxEuIIF-xsYjHgg/edit?usp=sharing"",""งบกองทุน!ad65"")"),90)</f>
        <v>90</v>
      </c>
      <c r="J313" s="367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IFERROR(__xludf.DUMMYFUNCTION("IMPORTRANGE(""https://docs.google.com/spreadsheets/d/1C3CXT74ZlgGe6_JY_1olB1XN4rF0dxEuIIF-xsYjHgg/edit?usp=sharing"",""งบกองทุน!af65"")"),30)</f>
        <v>30</v>
      </c>
      <c r="J314" s="368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IFERROR(__xludf.DUMMYFUNCTION("IMPORTRANGE(""https://docs.google.com/spreadsheets/d/1C3CXT74ZlgGe6_JY_1olB1XN4rF0dxEuIIF-xsYjHgg/edit?usp=sharing"",""งบกองทุน!ag65"")"),30)</f>
        <v>30</v>
      </c>
      <c r="J315" s="368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IFERROR(__xludf.DUMMYFUNCTION("IMPORTRANGE(""https://docs.google.com/spreadsheets/d/1C3CXT74ZlgGe6_JY_1olB1XN4rF0dxEuIIF-xsYjHgg/edit?usp=sharing"",""งบกองทุน!ai65"")"),25)</f>
        <v>25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IFERROR(__xludf.DUMMYFUNCTION("IMPORTRANGE(""https://docs.google.com/spreadsheets/d/1C3CXT74ZlgGe6_JY_1olB1XN4rF0dxEuIIF-xsYjHgg/edit?usp=sharing"",""งบกองทุน!ah65"")"),75)</f>
        <v>75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IFERROR(__xludf.DUMMYFUNCTION("IMPORTRANGE(""https://docs.google.com/spreadsheets/d/1C3CXT74ZlgGe6_JY_1olB1XN4rF0dxEuIIF-xsYjHgg/edit?usp=sharing"",""งบกองทุน!aj65"")"),25)</f>
        <v>25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IFERROR(__xludf.DUMMYFUNCTION("IMPORTRANGE(""https://docs.google.com/spreadsheets/d/1C3CXT74ZlgGe6_JY_1olB1XN4rF0dxEuIIF-xsYjHgg/edit?usp=sharing"",""งบกองทุน!ak65"")"),25)</f>
        <v>25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IFERROR(__xludf.DUMMYFUNCTION("IMPORTRANGE(""https://docs.google.com/spreadsheets/d/1C3CXT74ZlgGe6_JY_1olB1XN4rF0dxEuIIF-xsYjHgg/edit?usp=sharing"",""งบกองทุน!al65"")"),25)</f>
        <v>25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IFERROR(__xludf.DUMMYFUNCTION("IMPORTRANGE(""https://docs.google.com/spreadsheets/d/1C3CXT74ZlgGe6_JY_1olB1XN4rF0dxEuIIF-xsYjHgg/edit?usp=sharing"",""งบกองทุน!an65"")"),13)</f>
        <v>13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IFERROR(__xludf.DUMMYFUNCTION("IMPORTRANGE(""https://docs.google.com/spreadsheets/d/1C3CXT74ZlgGe6_JY_1olB1XN4rF0dxEuIIF-xsYjHgg/edit?usp=sharing"",""งบกองทุน!am65"")"),39)</f>
        <v>39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IFERROR(__xludf.DUMMYFUNCTION("IMPORTRANGE(""https://docs.google.com/spreadsheets/d/1C3CXT74ZlgGe6_JY_1olB1XN4rF0dxEuIIF-xsYjHgg/edit?usp=sharing"",""งบกองทุน!ao65"")"),13)</f>
        <v>13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IFERROR(__xludf.DUMMYFUNCTION("IMPORTRANGE(""https://docs.google.com/spreadsheets/d/1C3CXT74ZlgGe6_JY_1olB1XN4rF0dxEuIIF-xsYjHgg/edit?usp=sharing"",""งบกองทุน!ap65"")"),13)</f>
        <v>13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55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IFERROR(__xludf.DUMMYFUNCTION("IMPORTRANGE(""https://docs.google.com/spreadsheets/d/1C3CXT74ZlgGe6_JY_1olB1XN4rF0dxEuIIF-xsYjHgg/edit?usp=sharing"",""งบกองทุน!ar65"")"),30)</f>
        <v>30</v>
      </c>
      <c r="J326" s="368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IFERROR(__xludf.DUMMYFUNCTION("IMPORTRANGE(""https://docs.google.com/spreadsheets/d/1C3CXT74ZlgGe6_JY_1olB1XN4rF0dxEuIIF-xsYjHgg/edit?usp=sharing"",""งบกองทุน!as65"")"),25)</f>
        <v>25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84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225000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225000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IFERROR(__xludf.DUMMYFUNCTION("IMPORTRANGE(""https://docs.google.com/spreadsheets/d/1C3CXT74ZlgGe6_JY_1olB1XN4rF0dxEuIIF-xsYjHgg/edit?usp=sharing"",""งบกองทุน!au65"")"),0)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IFERROR(__xludf.DUMMYFUNCTION("IMPORTRANGE(""https://docs.google.com/spreadsheets/d/1C3CXT74ZlgGe6_JY_1olB1XN4rF0dxEuIIF-xsYjHgg/edit?usp=sharing"",""งบกองทุน!av65"")"),225000)</f>
        <v>225000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0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0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84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IFERROR(__xludf.DUMMYFUNCTION("IMPORTRANGE(""https://docs.google.com/spreadsheets/d/1C3CXT74ZlgGe6_JY_1olB1XN4rF0dxEuIIF-xsYjHgg/edit?usp=sharing"",""งบกองทุน!ay65"")"),24)</f>
        <v>24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IFERROR(__xludf.DUMMYFUNCTION("IMPORTRANGE(""https://docs.google.com/spreadsheets/d/1C3CXT74ZlgGe6_JY_1olB1XN4rF0dxEuIIF-xsYjHgg/edit?usp=sharing"",""งบกองทุน!az65"")"),60)</f>
        <v>60</v>
      </c>
      <c r="J346" s="67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IFERROR(__xludf.DUMMYFUNCTION("IMPORTRANGE(""https://docs.google.com/spreadsheets/d/1C3CXT74ZlgGe6_JY_1olB1XN4rF0dxEuIIF-xsYjHgg/edit?usp=sharing"",""งบกองทุน!Ba65"")"),0)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IFERROR(__xludf.DUMMYFUNCTION("IMPORTRANGE(""https://docs.google.com/spreadsheets/d/1C3CXT74ZlgGe6_JY_1olB1XN4rF0dxEuIIF-xsYjHgg/edit?usp=sharing"",""งบกองทุน!Bc65"")"),0)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IFERROR(__xludf.DUMMYFUNCTION("IMPORTRANGE(""https://docs.google.com/spreadsheets/d/1C3CXT74ZlgGe6_JY_1olB1XN4rF0dxEuIIF-xsYjHgg/edit?usp=sharing"",""งบกองทุน!Bd65"")"),0)</f>
        <v>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2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2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IFERROR(__xludf.DUMMYFUNCTION("IMPORTRANGE(""https://docs.google.com/spreadsheets/d/1C3CXT74ZlgGe6_JY_1olB1XN4rF0dxEuIIF-xsYjHgg/edit?usp=sharing"",""งบกองทุน!BE65"")"),0)</f>
        <v>0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4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IFERROR(__xludf.DUMMYFUNCTION("IMPORTRANGE(""https://docs.google.com/spreadsheets/d/1C3CXT74ZlgGe6_JY_1olB1XN4rF0dxEuIIF-xsYjHgg/edit?usp=sharing"",""งบกองทุน!BE65"")"),0)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52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IFERROR(__xludf.DUMMYFUNCTION("IMPORTRANGE(""https://docs.google.com/spreadsheets/d/1C3CXT74ZlgGe6_JY_1olB1XN4rF0dxEuIIF-xsYjHgg/edit?usp=sharing"",""งบกองทุน!Bf65"")"),0)</f>
        <v>0</v>
      </c>
      <c r="J361" s="265">
        <f t="shared" si="83"/>
        <v>0</v>
      </c>
      <c r="K361" s="79">
        <f t="shared" ca="1" si="82"/>
        <v>0</v>
      </c>
      <c r="L361" s="60"/>
      <c r="M361" s="52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7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7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7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7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7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7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265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ca="1">I361</f>
        <v>0</v>
      </c>
      <c r="J369" s="265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7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7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7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7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7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7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265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265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7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7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7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7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265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265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7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7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7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7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7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7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IFERROR(__xludf.DUMMYFUNCTION("IMPORTRANGE(""https://docs.google.com/spreadsheets/d/1C3CXT74ZlgGe6_JY_1olB1XN4rF0dxEuIIF-xsYjHgg/edit?usp=sharing"",""งบกองทุน!cd65"")"),0)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t="shared" ref="I391:J391" si="87">I393+I401+I407</f>
        <v>0</v>
      </c>
      <c r="J391" s="265">
        <f t="shared" si="87"/>
        <v>0</v>
      </c>
      <c r="K391" s="48">
        <f t="shared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t="shared" ref="I392:J392" si="88">I394+I402+I408</f>
        <v>0</v>
      </c>
      <c r="J392" s="265">
        <f t="shared" si="88"/>
        <v>0</v>
      </c>
      <c r="K392" s="79">
        <f t="shared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9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9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7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7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7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7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7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7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47">
        <f t="shared" ref="J401:J402" si="90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47">
        <f t="shared" si="90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7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7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7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7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7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7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IFERROR(__xludf.DUMMYFUNCTION("IMPORTRANGE(""https://docs.google.com/spreadsheets/d/1C3CXT74ZlgGe6_JY_1olB1XN4rF0dxEuIIF-xsYjHgg/edit?usp=sharing"",""งบกองทุน!cz65"")"),0)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IFERROR(__xludf.DUMMYFUNCTION("IMPORTRANGE(""https://docs.google.com/spreadsheets/d/1C3CXT74ZlgGe6_JY_1olB1XN4rF0dxEuIIF-xsYjHgg/edit?usp=sharing"",""งบกองทุน!cz65"")"),0)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IFERROR(__xludf.DUMMYFUNCTION("IMPORTRANGE(""https://docs.google.com/spreadsheets/d/1C3CXT74ZlgGe6_JY_1olB1XN4rF0dxEuIIF-xsYjHgg/edit?usp=sharing"",""งบกองทุน!cy65"")"),0)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IFERROR(__xludf.DUMMYFUNCTION("IMPORTRANGE(""https://docs.google.com/spreadsheets/d/1C3CXT74ZlgGe6_JY_1olB1XN4rF0dxEuIIF-xsYjHgg/edit?usp=sharing"",""งบกองทุน!db65"")"),0)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IFERROR(__xludf.DUMMYFUNCTION("IMPORTRANGE(""https://docs.google.com/spreadsheets/d/1C3CXT74ZlgGe6_JY_1olB1XN4rF0dxEuIIF-xsYjHgg/edit?usp=sharing"",""งบกองทุน!da65"")"),0)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IFERROR(__xludf.DUMMYFUNCTION("IMPORTRANGE(""https://docs.google.com/spreadsheets/d/1C3CXT74ZlgGe6_JY_1olB1XN4rF0dxEuIIF-xsYjHgg/edit?usp=sharing"",""งบกองทุน!dd65"")"),0)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IFERROR(__xludf.DUMMYFUNCTION("IMPORTRANGE(""https://docs.google.com/spreadsheets/d/1C3CXT74ZlgGe6_JY_1olB1XN4rF0dxEuIIF-xsYjHgg/edit?usp=sharing"",""งบกองทุน!dc65"")"),0)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IFERROR(__xludf.DUMMYFUNCTION("IMPORTRANGE(""https://docs.google.com/spreadsheets/d/1C3CXT74ZlgGe6_JY_1olB1XN4rF0dxEuIIF-xsYjHgg/edit?usp=sharing"",""งบกองทุน!df65"")"),0)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IFERROR(__xludf.DUMMYFUNCTION("IMPORTRANGE(""https://docs.google.com/spreadsheets/d/1C3CXT74ZlgGe6_JY_1olB1XN4rF0dxEuIIF-xsYjHgg/edit?usp=sharing"",""งบกองทุน!de65"")"),0)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1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1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2">I440</f>
        <v>22</v>
      </c>
      <c r="J426" s="257">
        <f t="shared" si="92"/>
        <v>0</v>
      </c>
      <c r="K426" s="258">
        <f ca="1">IF(I426&gt;0,J426*100/I426,0)</f>
        <v>0</v>
      </c>
      <c r="L426" s="259">
        <f t="shared" ref="L426:M426" ca="1" si="93">SUM(L427:L428)</f>
        <v>34340</v>
      </c>
      <c r="M426" s="259">
        <f t="shared" si="93"/>
        <v>0</v>
      </c>
      <c r="N426" s="259">
        <f t="shared" ref="N426:N430" ca="1" si="94">+IF(L426&gt;0,M426*100/L426,0)</f>
        <v>0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4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5">SUM(L429:L430)</f>
        <v>34340</v>
      </c>
      <c r="M428" s="52">
        <f t="shared" si="95"/>
        <v>0</v>
      </c>
      <c r="N428" s="52">
        <f t="shared" ca="1" si="94"/>
        <v>0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IFERROR(__xludf.DUMMYFUNCTION("IMPORTRANGE(""https://docs.google.com/spreadsheets/d/1C3CXT74ZlgGe6_JY_1olB1XN4rF0dxEuIIF-xsYjHgg/edit?usp=sharing"",""งบกองทุน!dn65"")"),0)</f>
        <v>0</v>
      </c>
      <c r="M429" s="52">
        <v>0</v>
      </c>
      <c r="N429" s="52">
        <f t="shared" ca="1" si="94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IFERROR(__xludf.DUMMYFUNCTION("IMPORTRANGE(""https://docs.google.com/spreadsheets/d/1C3CXT74ZlgGe6_JY_1olB1XN4rF0dxEuIIF-xsYjHgg/edit?usp=sharing"",""งบกองทุน!do65"")"),34340)</f>
        <v>34340</v>
      </c>
      <c r="M430" s="52">
        <f>SUM(M431:M434)</f>
        <v>0</v>
      </c>
      <c r="N430" s="52">
        <f t="shared" ca="1" si="94"/>
        <v>0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0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0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IFERROR(__xludf.DUMMYFUNCTION("IMPORTRANGE(""https://docs.google.com/spreadsheets/d/1C3CXT74ZlgGe6_JY_1olB1XN4rF0dxEuIIF-xsYjHgg/edit?usp=sharing"",""งบกองทุน!dq65"")"),22)</f>
        <v>22</v>
      </c>
      <c r="J440" s="67">
        <v>0</v>
      </c>
      <c r="K440" s="48">
        <f t="shared" ref="K440:K441" ca="1" si="96">IF(I440&gt;0,J440*100/I440,0)</f>
        <v>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IFERROR(__xludf.DUMMYFUNCTION("IMPORTRANGE(""https://docs.google.com/spreadsheets/d/1C3CXT74ZlgGe6_JY_1olB1XN4rF0dxEuIIF-xsYjHgg/edit?usp=sharing"",""งบกองทุน!dr65"")"),22)</f>
        <v>22</v>
      </c>
      <c r="J441" s="67">
        <v>0</v>
      </c>
      <c r="K441" s="48">
        <f t="shared" ca="1" si="96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7">SUM(I453,I455)</f>
        <v>0</v>
      </c>
      <c r="J444" s="257">
        <f t="shared" si="97"/>
        <v>0</v>
      </c>
      <c r="K444" s="258">
        <f ca="1">IF(I444&gt;0,J444*100/I444,0)</f>
        <v>0</v>
      </c>
      <c r="L444" s="259">
        <f t="shared" ref="L444:M444" ca="1" si="98">SUM(L445:L446)</f>
        <v>0</v>
      </c>
      <c r="M444" s="259">
        <f t="shared" si="98"/>
        <v>0</v>
      </c>
      <c r="N444" s="259">
        <f t="shared" ref="N444:N448" ca="1" si="99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9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100">SUM(L447:L448)</f>
        <v>0</v>
      </c>
      <c r="M446" s="52">
        <f t="shared" si="100"/>
        <v>0</v>
      </c>
      <c r="N446" s="52">
        <f t="shared" ca="1" si="99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IFERROR(__xludf.DUMMYFUNCTION("IMPORTRANGE(""https://docs.google.com/spreadsheets/d/1C3CXT74ZlgGe6_JY_1olB1XN4rF0dxEuIIF-xsYjHgg/edit?usp=sharing"",""งบกองทุน!dt65"")"),0)</f>
        <v>0</v>
      </c>
      <c r="M447" s="52">
        <v>0</v>
      </c>
      <c r="N447" s="52">
        <f t="shared" ca="1" si="99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IFERROR(__xludf.DUMMYFUNCTION("IMPORTRANGE(""https://docs.google.com/spreadsheets/d/1C3CXT74ZlgGe6_JY_1olB1XN4rF0dxEuIIF-xsYjHgg/edit?usp=sharing"",""งบกองทุน!du65"")"),0)</f>
        <v>0</v>
      </c>
      <c r="M448" s="52">
        <f>SUM(M449:M452)</f>
        <v>0</v>
      </c>
      <c r="N448" s="52">
        <f t="shared" ca="1" si="99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IFERROR(__xludf.DUMMYFUNCTION("IMPORTRANGE(""https://docs.google.com/spreadsheets/d/1C3CXT74ZlgGe6_JY_1olB1XN4rF0dxEuIIF-xsYjHgg/edit?usp=sharing"",""งบกองทุน!dw65"")"),0)</f>
        <v>0</v>
      </c>
      <c r="J453" s="66">
        <v>0</v>
      </c>
      <c r="K453" s="232">
        <f t="shared" ref="K453:K457" ca="1" si="101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IFERROR(__xludf.DUMMYFUNCTION("IMPORTRANGE(""https://docs.google.com/spreadsheets/d/1C3CXT74ZlgGe6_JY_1olB1XN4rF0dxEuIIF-xsYjHgg/edit?usp=sharing"",""งบกองทุน!dx65"")"),0)</f>
        <v>0</v>
      </c>
      <c r="J454" s="66">
        <v>0</v>
      </c>
      <c r="K454" s="232">
        <f t="shared" ca="1" si="101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IFERROR(__xludf.DUMMYFUNCTION("IMPORTRANGE(""https://docs.google.com/spreadsheets/d/1C3CXT74ZlgGe6_JY_1olB1XN4rF0dxEuIIF-xsYjHgg/edit?usp=sharing"",""งบกองทุน!dy65"")"),0)</f>
        <v>0</v>
      </c>
      <c r="J455" s="66">
        <v>0</v>
      </c>
      <c r="K455" s="232">
        <f t="shared" ca="1" si="101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IFERROR(__xludf.DUMMYFUNCTION("IMPORTRANGE(""https://docs.google.com/spreadsheets/d/1C3CXT74ZlgGe6_JY_1olB1XN4rF0dxEuIIF-xsYjHgg/edit?usp=sharing"",""งบกองทุน!dz65"")"),0)</f>
        <v>0</v>
      </c>
      <c r="J456" s="66">
        <v>0</v>
      </c>
      <c r="K456" s="48">
        <f t="shared" ca="1" si="101"/>
        <v>0</v>
      </c>
      <c r="L456" s="60"/>
      <c r="M456" s="60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150</v>
      </c>
      <c r="J457" s="226">
        <f>+J466</f>
        <v>56</v>
      </c>
      <c r="K457" s="227">
        <f t="shared" ca="1" si="101"/>
        <v>37.333333333333336</v>
      </c>
      <c r="L457" s="228">
        <f t="shared" ref="L457:M457" ca="1" si="102">SUM(L458:L459)</f>
        <v>119520</v>
      </c>
      <c r="M457" s="228">
        <f t="shared" si="102"/>
        <v>0</v>
      </c>
      <c r="N457" s="228">
        <f t="shared" ref="N457:N461" ca="1" si="103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3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4">SUM(L460:L461)</f>
        <v>119520</v>
      </c>
      <c r="M459" s="52">
        <f t="shared" si="104"/>
        <v>0</v>
      </c>
      <c r="N459" s="52">
        <f t="shared" ca="1" si="103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IFERROR(__xludf.DUMMYFUNCTION("IMPORTRANGE(""https://docs.google.com/spreadsheets/d/1C3CXT74ZlgGe6_JY_1olB1XN4rF0dxEuIIF-xsYjHgg/edit?usp=sharing"",""งบกองทุน!Eb65"")"),0)</f>
        <v>0</v>
      </c>
      <c r="M460" s="52">
        <v>0</v>
      </c>
      <c r="N460" s="52">
        <f t="shared" ca="1" si="103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IFERROR(__xludf.DUMMYFUNCTION("IMPORTRANGE(""https://docs.google.com/spreadsheets/d/1C3CXT74ZlgGe6_JY_1olB1XN4rF0dxEuIIF-xsYjHgg/edit?usp=sharing"",""งบกองทุน!Ec65"")"),119520)</f>
        <v>119520</v>
      </c>
      <c r="M461" s="52">
        <f>SUM(M462:M465)</f>
        <v>0</v>
      </c>
      <c r="N461" s="52">
        <f t="shared" ca="1" si="103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IFERROR(__xludf.DUMMYFUNCTION("IMPORTRANGE(""https://docs.google.com/spreadsheets/d/1C3CXT74ZlgGe6_JY_1olB1XN4rF0dxEuIIF-xsYjHgg/edit?usp=sharing"",""งบกองทุน!Ed65"")"),150)</f>
        <v>150</v>
      </c>
      <c r="J466" s="265">
        <f>+J469+J470+J471+J472</f>
        <v>56</v>
      </c>
      <c r="K466" s="79">
        <f ca="1">IF(I466&gt;0,J466*100/I466,0)</f>
        <v>37.333333333333336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1</v>
      </c>
      <c r="K468" s="48">
        <f t="shared" ref="K468:K472" si="105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30</v>
      </c>
      <c r="K469" s="48">
        <f t="shared" si="105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26</v>
      </c>
      <c r="K470" s="48">
        <f t="shared" si="105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5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5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6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6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7">SUM(L476:L477)</f>
        <v>0</v>
      </c>
      <c r="M475" s="52">
        <f t="shared" si="107"/>
        <v>0</v>
      </c>
      <c r="N475" s="52">
        <f t="shared" ca="1" si="106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IFERROR(__xludf.DUMMYFUNCTION("IMPORTRANGE(""https://docs.google.com/spreadsheets/d/1C3CXT74ZlgGe6_JY_1olB1XN4rF0dxEuIIF-xsYjHgg/edit?usp=sharing"",""งบกองทุน!Ek65"")"),0)</f>
        <v>0</v>
      </c>
      <c r="M476" s="52">
        <v>0</v>
      </c>
      <c r="N476" s="52">
        <f t="shared" ca="1" si="106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IFERROR(__xludf.DUMMYFUNCTION("IMPORTRANGE(""https://docs.google.com/spreadsheets/d/1C3CXT74ZlgGe6_JY_1olB1XN4rF0dxEuIIF-xsYjHgg/edit?usp=sharing"",""งบกองทุน!El65"")"),0)</f>
        <v>0</v>
      </c>
      <c r="M477" s="52">
        <f>SUM(M478:M481)</f>
        <v>0</v>
      </c>
      <c r="N477" s="52">
        <f t="shared" ca="1" si="106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IFERROR(__xludf.DUMMYFUNCTION("IMPORTRANGE(""https://docs.google.com/spreadsheets/d/1C3CXT74ZlgGe6_JY_1olB1XN4rF0dxEuIIF-xsYjHgg/edit?usp=sharing"",""งบกองทุน!Em65"")"),0)</f>
        <v>0</v>
      </c>
      <c r="J482" s="66">
        <f ca="1">IFERROR(__xludf.DUMMYFUNCTION("IMPORTRANGE(""https://docs.google.com/spreadsheets/d/1AGHcLOeeYFL3K4b9R1dSzyJy00PE_ra89DNTVfnxSWM/edit?usp=sharing"",""รวมที่ชุมชน!G54"")"),0)</f>
        <v>0</v>
      </c>
      <c r="K482" s="48">
        <f t="shared" ref="K482:K489" ca="1" si="108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IFERROR(__xludf.DUMMYFUNCTION("IMPORTRANGE(""https://docs.google.com/spreadsheets/d/1C3CXT74ZlgGe6_JY_1olB1XN4rF0dxEuIIF-xsYjHgg/edit?usp=sharing"",""งบกองทุน!En65"")"),0)</f>
        <v>0</v>
      </c>
      <c r="J483" s="66">
        <f ca="1">IFERROR(__xludf.DUMMYFUNCTION("IMPORTRANGE(""https://docs.google.com/spreadsheets/d/1AGHcLOeeYFL3K4b9R1dSzyJy00PE_ra89DNTVfnxSWM/edit?usp=sharing"",""รวมที่ชุมชน!H54"")"),0)</f>
        <v>0</v>
      </c>
      <c r="K483" s="200">
        <f t="shared" ca="1" si="108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IFERROR(__xludf.DUMMYFUNCTION("IMPORTRANGE(""https://docs.google.com/spreadsheets/d/1C3CXT74ZlgGe6_JY_1olB1XN4rF0dxEuIIF-xsYjHgg/edit?usp=sharing"",""งบกองทุน!Eo65"")"),0)</f>
        <v>0</v>
      </c>
      <c r="J484" s="66">
        <f ca="1">IFERROR(__xludf.DUMMYFUNCTION("IMPORTRANGE(""https://docs.google.com/spreadsheets/d/1AGHcLOeeYFL3K4b9R1dSzyJy00PE_ra89DNTVfnxSWM/edit?usp=sharing"",""รวมที่ชุมชน!J54"")"),0)</f>
        <v>0</v>
      </c>
      <c r="K484" s="48">
        <f t="shared" ca="1" si="108"/>
        <v>0</v>
      </c>
      <c r="L484" s="60"/>
      <c r="M484" s="52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IFERROR(__xludf.DUMMYFUNCTION("IMPORTRANGE(""https://docs.google.com/spreadsheets/d/1C3CXT74ZlgGe6_JY_1olB1XN4rF0dxEuIIF-xsYjHgg/edit?usp=sharing"",""งบกองทุน!Ep65"")"),0)</f>
        <v>0</v>
      </c>
      <c r="J485" s="66">
        <f ca="1">IFERROR(__xludf.DUMMYFUNCTION("IMPORTRANGE(""https://docs.google.com/spreadsheets/d/1AGHcLOeeYFL3K4b9R1dSzyJy00PE_ra89DNTVfnxSWM/edit?usp=sharing"",""รวมที่ชุมชน!L54"")"),0)</f>
        <v>0</v>
      </c>
      <c r="K485" s="200">
        <f t="shared" ca="1" si="108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IFERROR(__xludf.DUMMYFUNCTION("IMPORTRANGE(""https://docs.google.com/spreadsheets/d/1C3CXT74ZlgGe6_JY_1olB1XN4rF0dxEuIIF-xsYjHgg/edit?usp=sharing"",""งบกองทุน!Eq65"")"),0)</f>
        <v>0</v>
      </c>
      <c r="J486" s="66">
        <f ca="1">IFERROR(__xludf.DUMMYFUNCTION("IMPORTRANGE(""https://docs.google.com/spreadsheets/d/1AGHcLOeeYFL3K4b9R1dSzyJy00PE_ra89DNTVfnxSWM/edit?usp=sharing"",""รวมที่ชุมชน!S54"")"),0)</f>
        <v>0</v>
      </c>
      <c r="K486" s="48">
        <f t="shared" ca="1" si="108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IFERROR(__xludf.DUMMYFUNCTION("IMPORTRANGE(""https://docs.google.com/spreadsheets/d/1C3CXT74ZlgGe6_JY_1olB1XN4rF0dxEuIIF-xsYjHgg/edit?usp=sharing"",""งบกองทุน!Er65"")"),0)</f>
        <v>0</v>
      </c>
      <c r="J487" s="66">
        <f ca="1">IFERROR(__xludf.DUMMYFUNCTION("IMPORTRANGE(""https://docs.google.com/spreadsheets/d/1AGHcLOeeYFL3K4b9R1dSzyJy00PE_ra89DNTVfnxSWM/edit?usp=sharing"",""รวมที่ชุมชน!U54"")"),0)</f>
        <v>0</v>
      </c>
      <c r="K487" s="200">
        <f t="shared" ca="1" si="108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IFERROR(__xludf.DUMMYFUNCTION("IMPORTRANGE(""https://docs.google.com/spreadsheets/d/1C3CXT74ZlgGe6_JY_1olB1XN4rF0dxEuIIF-xsYjHgg/edit?usp=sharing"",""งบกองทุน!Es65"")"),0)</f>
        <v>0</v>
      </c>
      <c r="J488" s="66">
        <f ca="1">IFERROR(__xludf.DUMMYFUNCTION("IMPORTRANGE(""https://docs.google.com/spreadsheets/d/1AGHcLOeeYFL3K4b9R1dSzyJy00PE_ra89DNTVfnxSWM/edit?usp=sharing"",""รวมที่ชุมชน!V54"")"),0)</f>
        <v>0</v>
      </c>
      <c r="K488" s="48">
        <f t="shared" ca="1" si="108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IFERROR(__xludf.DUMMYFUNCTION("IMPORTRANGE(""https://docs.google.com/spreadsheets/d/1C3CXT74ZlgGe6_JY_1olB1XN4rF0dxEuIIF-xsYjHgg/edit?usp=sharing"",""งบกองทุน!Et65"")"),0)</f>
        <v>0</v>
      </c>
      <c r="J489" s="111">
        <f ca="1">IFERROR(__xludf.DUMMYFUNCTION("IMPORTRANGE(""https://docs.google.com/spreadsheets/d/1AGHcLOeeYFL3K4b9R1dSzyJy00PE_ra89DNTVfnxSWM/edit?usp=sharing"",""รวมที่ชุมชน!X54"")"),0)</f>
        <v>0</v>
      </c>
      <c r="K489" s="347">
        <f t="shared" ca="1" si="108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9">I504</f>
        <v>50</v>
      </c>
      <c r="J490" s="303">
        <f t="shared" si="109"/>
        <v>0</v>
      </c>
      <c r="K490" s="258">
        <f ca="1">IF(I490&gt;0,J490*100/I490,0)</f>
        <v>0</v>
      </c>
      <c r="L490" s="259">
        <f ca="1">SUM(L491,L492)</f>
        <v>6950</v>
      </c>
      <c r="M490" s="259">
        <f>SUM(M491:M492)</f>
        <v>0</v>
      </c>
      <c r="N490" s="259">
        <f t="shared" ref="N490:N494" ca="1" si="110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10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1">SUM(L493:L494)</f>
        <v>6950</v>
      </c>
      <c r="M492" s="52">
        <f t="shared" si="111"/>
        <v>0</v>
      </c>
      <c r="N492" s="52">
        <f t="shared" ca="1" si="110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IFERROR(__xludf.DUMMYFUNCTION("IMPORTRANGE(""https://docs.google.com/spreadsheets/d/1C3CXT74ZlgGe6_JY_1olB1XN4rF0dxEuIIF-xsYjHgg/edit?usp=sharing"",""งบกองทุน!Ev65"")"),0)</f>
        <v>0</v>
      </c>
      <c r="M493" s="52">
        <v>0</v>
      </c>
      <c r="N493" s="52">
        <f t="shared" ca="1" si="110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IFERROR(__xludf.DUMMYFUNCTION("IMPORTRANGE(""https://docs.google.com/spreadsheets/d/1C3CXT74ZlgGe6_JY_1olB1XN4rF0dxEuIIF-xsYjHgg/edit?usp=sharing"",""งบกองทุน!Ew65"")"),6950)</f>
        <v>6950</v>
      </c>
      <c r="M494" s="52">
        <f>SUM(M495:M498)</f>
        <v>0</v>
      </c>
      <c r="N494" s="52">
        <f t="shared" ca="1" si="110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0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IFERROR(__xludf.DUMMYFUNCTION("IMPORTRANGE(""https://docs.google.com/spreadsheets/d/1C3CXT74ZlgGe6_JY_1olB1XN4rF0dxEuIIF-xsYjHgg/edit?usp=sharing"",""งบกองทุน!EZ65"")"),50)</f>
        <v>50</v>
      </c>
      <c r="J504" s="47">
        <f>+J510</f>
        <v>0</v>
      </c>
      <c r="K504" s="48">
        <f t="shared" ref="K504:K512" ca="1" si="112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2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2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2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2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2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3">I511+I512</f>
        <v>0</v>
      </c>
      <c r="J510" s="66">
        <f t="shared" si="113"/>
        <v>0</v>
      </c>
      <c r="K510" s="48">
        <f t="shared" ca="1" si="112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2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/>
      <c r="K512" s="48">
        <f t="shared" ca="1" si="112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IFERROR(__xludf.DUMMYFUNCTION("IMPORTRANGE(""https://docs.google.com/spreadsheets/d/1C3CXT74ZlgGe6_JY_1olB1XN4rF0dxEuIIF-xsYjHgg/edit?usp=sharing"",""งบกองทุน!ff65"")"),0)</f>
        <v>0</v>
      </c>
      <c r="J513" s="47">
        <f>J514</f>
        <v>0</v>
      </c>
      <c r="K513" s="48">
        <f t="shared" ref="K513:K519" ca="1" si="114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5">I515+I516</f>
        <v>0</v>
      </c>
      <c r="J514" s="47">
        <f t="shared" si="115"/>
        <v>0</v>
      </c>
      <c r="K514" s="48">
        <f t="shared" ca="1" si="114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4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4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6">SUM(I518:I519)</f>
        <v>0</v>
      </c>
      <c r="J517" s="66">
        <f t="shared" si="116"/>
        <v>0</v>
      </c>
      <c r="K517" s="48">
        <f t="shared" ca="1" si="114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4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4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IFERROR(__xludf.DUMMYFUNCTION("IMPORTRANGE(""https://docs.google.com/spreadsheets/d/1muirlRDkqiswvy_NRZ3Yh955hx-PF6_HhssUYiSJj8o/edit?usp=sharing"",""กองทุน!D65"")"),3031999.6)</f>
        <v>3031999.6</v>
      </c>
      <c r="J521" s="199">
        <f ca="1">IFERROR(__xludf.DUMMYFUNCTION("IMPORTRANGE(""https://docs.google.com/spreadsheets/d/1muirlRDkqiswvy_NRZ3Yh955hx-PF6_HhssUYiSJj8o/edit?usp=sharing"",""กองทุน!F65"")"),0)</f>
        <v>0</v>
      </c>
      <c r="K521" s="200">
        <f t="shared" ref="K521:K528" ca="1" si="117">IF(I521&gt;0,J521*100/I521,0)</f>
        <v>0</v>
      </c>
      <c r="L521" s="200"/>
      <c r="M521" s="200">
        <v>15000</v>
      </c>
      <c r="N521" s="52">
        <v>0.5</v>
      </c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IFERROR(__xludf.DUMMYFUNCTION("IMPORTRANGE(""https://docs.google.com/spreadsheets/d/1muirlRDkqiswvy_NRZ3Yh955hx-PF6_HhssUYiSJj8o/edit?usp=sharing"",""กองทุน!C65"")"),113)</f>
        <v>113</v>
      </c>
      <c r="J522" s="199">
        <f ca="1">IFERROR(__xludf.DUMMYFUNCTION("IMPORTRANGE(""https://docs.google.com/spreadsheets/d/1muirlRDkqiswvy_NRZ3Yh955hx-PF6_HhssUYiSJj8o/edit?usp=sharing"",""กองทุน!E65"")"),0)</f>
        <v>0</v>
      </c>
      <c r="K522" s="200">
        <f t="shared" ca="1" si="117"/>
        <v>0</v>
      </c>
      <c r="L522" s="200"/>
      <c r="M522" s="200">
        <v>1</v>
      </c>
      <c r="N522" s="52">
        <v>0.88</v>
      </c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IFERROR(__xludf.DUMMYFUNCTION("IMPORTRANGE(""https://docs.google.com/spreadsheets/d/1muirlRDkqiswvy_NRZ3Yh955hx-PF6_HhssUYiSJj8o/edit?usp=sharing"",""กองทุน!I65"")"),3755607.56999999)</f>
        <v>3755607.5699999901</v>
      </c>
      <c r="J523" s="199">
        <f ca="1">IFERROR(__xludf.DUMMYFUNCTION("IMPORTRANGE(""https://docs.google.com/spreadsheets/d/1muirlRDkqiswvy_NRZ3Yh955hx-PF6_HhssUYiSJj8o/edit?usp=sharing"",""กองทุน!K65"")"),2613.18)</f>
        <v>2613.1799999999998</v>
      </c>
      <c r="K523" s="200">
        <f t="shared" ca="1" si="117"/>
        <v>6.9580752282912425E-2</v>
      </c>
      <c r="L523" s="200"/>
      <c r="M523" s="200">
        <v>34199.03</v>
      </c>
      <c r="N523" s="52">
        <v>0.91</v>
      </c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IFERROR(__xludf.DUMMYFUNCTION("IMPORTRANGE(""https://docs.google.com/spreadsheets/d/1muirlRDkqiswvy_NRZ3Yh955hx-PF6_HhssUYiSJj8o/edit?usp=sharing"",""กองทุน!H65"")"),108)</f>
        <v>108</v>
      </c>
      <c r="J524" s="199">
        <f ca="1">IFERROR(__xludf.DUMMYFUNCTION("IMPORTRANGE(""https://docs.google.com/spreadsheets/d/1muirlRDkqiswvy_NRZ3Yh955hx-PF6_HhssUYiSJj8o/edit?usp=sharing"",""กองทุน!J65"")"),3)</f>
        <v>3</v>
      </c>
      <c r="K524" s="200">
        <f t="shared" ca="1" si="117"/>
        <v>2.7777777777777777</v>
      </c>
      <c r="L524" s="200"/>
      <c r="M524" s="200">
        <v>9</v>
      </c>
      <c r="N524" s="52">
        <v>7.41</v>
      </c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IFERROR(__xludf.DUMMYFUNCTION("IMPORTRANGE(""https://docs.google.com/spreadsheets/d/1muirlRDkqiswvy_NRZ3Yh955hx-PF6_HhssUYiSJj8o/edit?usp=sharing"",""กองทุน!N65"")"),5812476.32)</f>
        <v>5812476.3200000003</v>
      </c>
      <c r="J525" s="199">
        <f ca="1">IFERROR(__xludf.DUMMYFUNCTION("IMPORTRANGE(""https://docs.google.com/spreadsheets/d/1muirlRDkqiswvy_NRZ3Yh955hx-PF6_HhssUYiSJj8o/edit?usp=sharing"",""กองทุน!P65"")"),143996.4)</f>
        <v>143996.4</v>
      </c>
      <c r="K525" s="200">
        <f t="shared" ca="1" si="117"/>
        <v>2.4773675120968059</v>
      </c>
      <c r="L525" s="200"/>
      <c r="M525" s="200">
        <v>70938.27</v>
      </c>
      <c r="N525" s="52">
        <v>1.22</v>
      </c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IFERROR(__xludf.DUMMYFUNCTION("IMPORTRANGE(""https://docs.google.com/spreadsheets/d/1muirlRDkqiswvy_NRZ3Yh955hx-PF6_HhssUYiSJj8o/edit?usp=sharing"",""กองทุน!M65"")"),2004)</f>
        <v>2004</v>
      </c>
      <c r="J526" s="199">
        <f ca="1">IFERROR(__xludf.DUMMYFUNCTION("IMPORTRANGE(""https://docs.google.com/spreadsheets/d/1muirlRDkqiswvy_NRZ3Yh955hx-PF6_HhssUYiSJj8o/edit?usp=sharing"",""กองทุน!O65"")"),40)</f>
        <v>40</v>
      </c>
      <c r="K526" s="200">
        <f t="shared" ca="1" si="117"/>
        <v>1.996007984031936</v>
      </c>
      <c r="L526" s="200"/>
      <c r="M526" s="200">
        <v>92</v>
      </c>
      <c r="N526" s="52">
        <v>4.59</v>
      </c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IFERROR(__xludf.DUMMYFUNCTION("IMPORTRANGE(""https://docs.google.com/spreadsheets/d/1muirlRDkqiswvy_NRZ3Yh955hx-PF6_HhssUYiSJj8o/edit?usp=sharing"",""กองทุน!S65"")"),2000000)</f>
        <v>2000000</v>
      </c>
      <c r="J527" s="199">
        <f ca="1">IFERROR(__xludf.DUMMYFUNCTION("IMPORTRANGE(""https://docs.google.com/spreadsheets/d/1muirlRDkqiswvy_NRZ3Yh955hx-PF6_HhssUYiSJj8o/edit?usp=sharing"",""กองทุน!U65"")"),0)</f>
        <v>0</v>
      </c>
      <c r="K527" s="200">
        <f t="shared" ca="1" si="117"/>
        <v>0</v>
      </c>
      <c r="L527" s="200"/>
      <c r="M527" s="200">
        <v>100000</v>
      </c>
      <c r="N527" s="52">
        <v>5</v>
      </c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IFERROR(__xludf.DUMMYFUNCTION("IMPORTRANGE(""https://docs.google.com/spreadsheets/d/1muirlRDkqiswvy_NRZ3Yh955hx-PF6_HhssUYiSJj8o/edit?usp=sharing"",""กองทุน!R65"")"),60)</f>
        <v>60</v>
      </c>
      <c r="J528" s="324">
        <f ca="1">IFERROR(__xludf.DUMMYFUNCTION("IMPORTRANGE(""https://docs.google.com/spreadsheets/d/1muirlRDkqiswvy_NRZ3Yh955hx-PF6_HhssUYiSJj8o/edit?usp=sharing"",""กองทุน!T65"")"),0)</f>
        <v>0</v>
      </c>
      <c r="K528" s="347">
        <f t="shared" ca="1" si="117"/>
        <v>0</v>
      </c>
      <c r="L528" s="347"/>
      <c r="M528" s="347">
        <v>4</v>
      </c>
      <c r="N528" s="348">
        <v>6.67</v>
      </c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N1036"/>
  <sheetViews>
    <sheetView tabSelected="1" view="pageBreakPreview" zoomScale="60" zoomScaleNormal="100" workbookViewId="0">
      <pane ySplit="5" topLeftCell="A6" activePane="bottomLeft" state="frozen"/>
      <selection activeCell="G19" sqref="G19"/>
      <selection pane="bottomLeft" activeCell="G19" sqref="G19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73" t="s">
        <v>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</row>
    <row r="2" spans="1:14" ht="18" customHeight="1" x14ac:dyDescent="0.55000000000000004">
      <c r="A2" s="373" t="s">
        <v>230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</row>
    <row r="3" spans="1:14" ht="18" customHeight="1" x14ac:dyDescent="0.55000000000000004">
      <c r="A3" s="373" t="s">
        <v>246</v>
      </c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</row>
    <row r="4" spans="1:14" ht="33.75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21.75" customHeight="1" x14ac:dyDescent="0.55000000000000004">
      <c r="A5" s="375" t="s">
        <v>4</v>
      </c>
      <c r="B5" s="376"/>
      <c r="C5" s="376"/>
      <c r="D5" s="376"/>
      <c r="E5" s="376"/>
      <c r="F5" s="376"/>
      <c r="G5" s="377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1073305</v>
      </c>
      <c r="M6" s="16">
        <f t="shared" si="0"/>
        <v>19295</v>
      </c>
      <c r="N6" s="17">
        <f ca="1">IF(L6&gt;0,M6*100/L6,0)</f>
        <v>1.7977182627491719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39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39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39">
        <f t="shared" ca="1" si="2"/>
        <v>0</v>
      </c>
      <c r="L10" s="40"/>
      <c r="M10" s="40"/>
      <c r="N10" s="39"/>
    </row>
    <row r="11" spans="1:14" ht="21.75" customHeight="1" x14ac:dyDescent="0.55000000000000004">
      <c r="A11" s="41"/>
      <c r="B11" s="42"/>
      <c r="C11" s="42" t="s">
        <v>17</v>
      </c>
      <c r="D11" s="43" t="s">
        <v>18</v>
      </c>
      <c r="E11" s="44"/>
      <c r="F11" s="44"/>
      <c r="G11" s="45" t="s">
        <v>19</v>
      </c>
      <c r="H11" s="46" t="s">
        <v>20</v>
      </c>
      <c r="I11" s="47" t="s">
        <v>21</v>
      </c>
      <c r="J11" s="47"/>
      <c r="K11" s="48"/>
      <c r="L11" s="49">
        <v>0</v>
      </c>
      <c r="M11" s="49">
        <v>0</v>
      </c>
      <c r="N11" s="49">
        <f t="shared" ref="N11:N14" si="4">+IF(L11&gt;0,M11*100/L11,0)</f>
        <v>0</v>
      </c>
    </row>
    <row r="12" spans="1:14" ht="21.75" customHeight="1" x14ac:dyDescent="0.55000000000000004">
      <c r="A12" s="41"/>
      <c r="B12" s="42"/>
      <c r="C12" s="42"/>
      <c r="D12" s="50"/>
      <c r="E12" s="44"/>
      <c r="F12" s="44" t="s">
        <v>21</v>
      </c>
      <c r="G12" s="45" t="s">
        <v>22</v>
      </c>
      <c r="H12" s="46" t="s">
        <v>20</v>
      </c>
      <c r="I12" s="47"/>
      <c r="J12" s="47"/>
      <c r="K12" s="48"/>
      <c r="L12" s="52">
        <f ca="1">IFERROR(__xludf.DUMMYFUNCTION("IMPORTRANGE(""https://docs.google.com/spreadsheets/d/1C3CXT74ZlgGe6_JY_1olB1XN4rF0dxEuIIF-xsYjHgg/edit?usp=sharing"",""พรบ!C66"")"),0)</f>
        <v>0</v>
      </c>
      <c r="M12" s="49">
        <f>SUM(M13:M14)</f>
        <v>0</v>
      </c>
      <c r="N12" s="49">
        <f t="shared" ca="1" si="4"/>
        <v>0</v>
      </c>
    </row>
    <row r="13" spans="1:14" ht="21.75" customHeight="1" x14ac:dyDescent="0.55000000000000004">
      <c r="A13" s="41"/>
      <c r="B13" s="42"/>
      <c r="C13" s="42"/>
      <c r="D13" s="50"/>
      <c r="E13" s="44"/>
      <c r="F13" s="44"/>
      <c r="G13" s="51" t="s">
        <v>23</v>
      </c>
      <c r="H13" s="46" t="s">
        <v>20</v>
      </c>
      <c r="I13" s="47"/>
      <c r="J13" s="66"/>
      <c r="K13" s="232"/>
      <c r="L13" s="52">
        <f ca="1">IFERROR(__xludf.DUMMYFUNCTION("IMPORTRANGE(""https://docs.google.com/spreadsheets/d/1C3CXT74ZlgGe6_JY_1olB1XN4rF0dxEuIIF-xsYjHgg/edit?usp=sharing"",""พรบ!D66"")"),0)</f>
        <v>0</v>
      </c>
      <c r="M13" s="52">
        <v>0</v>
      </c>
      <c r="N13" s="52">
        <f t="shared" ca="1" si="4"/>
        <v>0</v>
      </c>
    </row>
    <row r="14" spans="1:14" ht="21.75" customHeight="1" x14ac:dyDescent="0.55000000000000004">
      <c r="A14" s="41"/>
      <c r="B14" s="42"/>
      <c r="C14" s="42"/>
      <c r="D14" s="50"/>
      <c r="E14" s="44"/>
      <c r="F14" s="44"/>
      <c r="G14" s="51" t="s">
        <v>24</v>
      </c>
      <c r="H14" s="46" t="s">
        <v>20</v>
      </c>
      <c r="I14" s="47"/>
      <c r="J14" s="66"/>
      <c r="K14" s="232"/>
      <c r="L14" s="52">
        <f ca="1">IFERROR(__xludf.DUMMYFUNCTION("IMPORTRANGE(""https://docs.google.com/spreadsheets/d/1C3CXT74ZlgGe6_JY_1olB1XN4rF0dxEuIIF-xsYjHgg/edit?usp=sharing"",""พรบ!E66"")"),0)</f>
        <v>0</v>
      </c>
      <c r="M14" s="52">
        <v>0</v>
      </c>
      <c r="N14" s="52">
        <f t="shared" ca="1" si="4"/>
        <v>0</v>
      </c>
    </row>
    <row r="15" spans="1:14" ht="21.75" customHeight="1" x14ac:dyDescent="0.55000000000000004">
      <c r="A15" s="54"/>
      <c r="B15" s="55"/>
      <c r="C15" s="42" t="s">
        <v>17</v>
      </c>
      <c r="D15" s="56" t="s">
        <v>25</v>
      </c>
      <c r="E15" s="57"/>
      <c r="F15" s="57"/>
      <c r="G15" s="58"/>
      <c r="H15" s="59"/>
      <c r="I15" s="47"/>
      <c r="J15" s="66"/>
      <c r="K15" s="232"/>
      <c r="L15" s="52"/>
      <c r="M15" s="52"/>
      <c r="N15" s="60"/>
    </row>
    <row r="16" spans="1:14" ht="21.75" customHeight="1" x14ac:dyDescent="0.55000000000000004">
      <c r="A16" s="54"/>
      <c r="B16" s="55"/>
      <c r="C16" s="55"/>
      <c r="D16" s="61">
        <v>1</v>
      </c>
      <c r="E16" s="62" t="s">
        <v>26</v>
      </c>
      <c r="F16" s="63"/>
      <c r="G16" s="64"/>
      <c r="H16" s="65"/>
      <c r="I16" s="66"/>
      <c r="J16" s="66">
        <v>0</v>
      </c>
      <c r="K16" s="232"/>
      <c r="L16" s="52"/>
      <c r="M16" s="52"/>
      <c r="N16" s="60"/>
    </row>
    <row r="17" spans="1:14" ht="21.75" customHeight="1" x14ac:dyDescent="0.55000000000000004">
      <c r="A17" s="54"/>
      <c r="B17" s="55"/>
      <c r="C17" s="55"/>
      <c r="D17" s="68">
        <v>2</v>
      </c>
      <c r="E17" s="69" t="s">
        <v>27</v>
      </c>
      <c r="F17" s="70"/>
      <c r="G17" s="71"/>
      <c r="H17" s="65"/>
      <c r="I17" s="66"/>
      <c r="J17" s="66">
        <v>0</v>
      </c>
      <c r="K17" s="232"/>
      <c r="L17" s="52" t="s">
        <v>21</v>
      </c>
      <c r="M17" s="52" t="s">
        <v>21</v>
      </c>
      <c r="N17" s="60"/>
    </row>
    <row r="18" spans="1:14" ht="21.75" customHeight="1" x14ac:dyDescent="0.55000000000000004">
      <c r="A18" s="54"/>
      <c r="B18" s="55"/>
      <c r="C18" s="55"/>
      <c r="D18" s="72"/>
      <c r="E18" s="73" t="s">
        <v>28</v>
      </c>
      <c r="F18" s="74"/>
      <c r="G18" s="75"/>
      <c r="H18" s="65"/>
      <c r="I18" s="66"/>
      <c r="J18" s="66">
        <v>0</v>
      </c>
      <c r="K18" s="232"/>
      <c r="L18" s="52"/>
      <c r="M18" s="52"/>
      <c r="N18" s="60"/>
    </row>
    <row r="19" spans="1:14" ht="21.75" customHeight="1" x14ac:dyDescent="0.55000000000000004">
      <c r="A19" s="54"/>
      <c r="B19" s="55"/>
      <c r="C19" s="55"/>
      <c r="D19" s="72"/>
      <c r="E19" s="73" t="s">
        <v>29</v>
      </c>
      <c r="F19" s="74"/>
      <c r="G19" s="75"/>
      <c r="H19" s="65"/>
      <c r="I19" s="66"/>
      <c r="J19" s="66">
        <v>0</v>
      </c>
      <c r="K19" s="232"/>
      <c r="L19" s="52"/>
      <c r="M19" s="52"/>
      <c r="N19" s="60"/>
    </row>
    <row r="20" spans="1:14" ht="21.75" customHeight="1" x14ac:dyDescent="0.55000000000000004">
      <c r="A20" s="54"/>
      <c r="B20" s="55"/>
      <c r="C20" s="55"/>
      <c r="D20" s="72"/>
      <c r="E20" s="76"/>
      <c r="F20" s="73" t="s">
        <v>30</v>
      </c>
      <c r="G20" s="74"/>
      <c r="H20" s="77" t="s">
        <v>15</v>
      </c>
      <c r="I20" s="78">
        <f t="shared" ref="I20:J20" ca="1" si="5">+I22+I24+I26</f>
        <v>0</v>
      </c>
      <c r="J20" s="78">
        <f t="shared" si="5"/>
        <v>0</v>
      </c>
      <c r="K20" s="284">
        <f t="shared" ref="K20:K28" ca="1" si="6">IF(I20&gt;0,J20*100/I20,0)</f>
        <v>0</v>
      </c>
      <c r="L20" s="52"/>
      <c r="M20" s="52"/>
      <c r="N20" s="60"/>
    </row>
    <row r="21" spans="1:14" ht="21.75" customHeight="1" x14ac:dyDescent="0.55000000000000004">
      <c r="A21" s="54"/>
      <c r="B21" s="55"/>
      <c r="C21" s="55"/>
      <c r="D21" s="72"/>
      <c r="E21" s="76"/>
      <c r="F21" s="74"/>
      <c r="G21" s="75"/>
      <c r="H21" s="77" t="s">
        <v>16</v>
      </c>
      <c r="I21" s="78">
        <f t="shared" ref="I21:J21" ca="1" si="7">+I23+I25+I27</f>
        <v>0</v>
      </c>
      <c r="J21" s="78">
        <f t="shared" si="7"/>
        <v>0</v>
      </c>
      <c r="K21" s="284">
        <f t="shared" ca="1" si="6"/>
        <v>0</v>
      </c>
      <c r="L21" s="52"/>
      <c r="M21" s="52"/>
      <c r="N21" s="60"/>
    </row>
    <row r="22" spans="1:14" ht="21.75" customHeight="1" x14ac:dyDescent="0.55000000000000004">
      <c r="A22" s="54"/>
      <c r="B22" s="55"/>
      <c r="C22" s="55"/>
      <c r="D22" s="72"/>
      <c r="E22" s="76"/>
      <c r="F22" s="74"/>
      <c r="G22" s="74" t="s">
        <v>31</v>
      </c>
      <c r="H22" s="59" t="s">
        <v>15</v>
      </c>
      <c r="I22" s="47">
        <f ca="1">IFERROR(__xludf.DUMMYFUNCTION("IMPORTRANGE(""https://docs.google.com/spreadsheets/d/1C3CXT74ZlgGe6_JY_1olB1XN4rF0dxEuIIF-xsYjHgg/edit?usp=sharing"",""พรบ!H66"")"),0)</f>
        <v>0</v>
      </c>
      <c r="J22" s="66">
        <v>0</v>
      </c>
      <c r="K22" s="232">
        <f t="shared" ca="1" si="6"/>
        <v>0</v>
      </c>
      <c r="L22" s="52"/>
      <c r="M22" s="52"/>
      <c r="N22" s="60"/>
    </row>
    <row r="23" spans="1:14" ht="21.75" customHeight="1" x14ac:dyDescent="0.55000000000000004">
      <c r="A23" s="54"/>
      <c r="B23" s="55"/>
      <c r="C23" s="55"/>
      <c r="D23" s="72"/>
      <c r="E23" s="76"/>
      <c r="F23" s="74"/>
      <c r="G23" s="75"/>
      <c r="H23" s="59" t="s">
        <v>16</v>
      </c>
      <c r="I23" s="47">
        <f ca="1">IFERROR(__xludf.DUMMYFUNCTION("IMPORTRANGE(""https://docs.google.com/spreadsheets/d/1C3CXT74ZlgGe6_JY_1olB1XN4rF0dxEuIIF-xsYjHgg/edit?usp=sharing"",""พรบ!I66"")"),0)</f>
        <v>0</v>
      </c>
      <c r="J23" s="66">
        <v>0</v>
      </c>
      <c r="K23" s="232">
        <f t="shared" ca="1" si="6"/>
        <v>0</v>
      </c>
      <c r="L23" s="52"/>
      <c r="M23" s="52"/>
      <c r="N23" s="60"/>
    </row>
    <row r="24" spans="1:14" ht="21.75" customHeight="1" x14ac:dyDescent="0.55000000000000004">
      <c r="A24" s="54"/>
      <c r="B24" s="55"/>
      <c r="C24" s="55"/>
      <c r="D24" s="72"/>
      <c r="E24" s="76"/>
      <c r="F24" s="74"/>
      <c r="G24" s="74" t="s">
        <v>32</v>
      </c>
      <c r="H24" s="59" t="s">
        <v>15</v>
      </c>
      <c r="I24" s="47">
        <f ca="1">IFERROR(__xludf.DUMMYFUNCTION("IMPORTRANGE(""https://docs.google.com/spreadsheets/d/1C3CXT74ZlgGe6_JY_1olB1XN4rF0dxEuIIF-xsYjHgg/edit?usp=sharing"",""พรบ!J66"")"),0)</f>
        <v>0</v>
      </c>
      <c r="J24" s="66">
        <v>0</v>
      </c>
      <c r="K24" s="232">
        <f t="shared" ca="1" si="6"/>
        <v>0</v>
      </c>
      <c r="L24" s="52"/>
      <c r="M24" s="52"/>
      <c r="N24" s="60"/>
    </row>
    <row r="25" spans="1:14" ht="21.75" customHeight="1" x14ac:dyDescent="0.55000000000000004">
      <c r="A25" s="54"/>
      <c r="B25" s="55"/>
      <c r="C25" s="55"/>
      <c r="D25" s="72"/>
      <c r="E25" s="76"/>
      <c r="F25" s="74"/>
      <c r="G25" s="75"/>
      <c r="H25" s="59" t="s">
        <v>16</v>
      </c>
      <c r="I25" s="47">
        <f ca="1">IFERROR(__xludf.DUMMYFUNCTION("IMPORTRANGE(""https://docs.google.com/spreadsheets/d/1C3CXT74ZlgGe6_JY_1olB1XN4rF0dxEuIIF-xsYjHgg/edit?usp=sharing"",""พรบ!K66"")"),0)</f>
        <v>0</v>
      </c>
      <c r="J25" s="66">
        <v>0</v>
      </c>
      <c r="K25" s="232">
        <f t="shared" ca="1" si="6"/>
        <v>0</v>
      </c>
      <c r="L25" s="52"/>
      <c r="M25" s="52"/>
      <c r="N25" s="60"/>
    </row>
    <row r="26" spans="1:14" ht="21.75" customHeight="1" x14ac:dyDescent="0.55000000000000004">
      <c r="A26" s="54"/>
      <c r="B26" s="55"/>
      <c r="C26" s="55"/>
      <c r="D26" s="72"/>
      <c r="E26" s="76"/>
      <c r="F26" s="74"/>
      <c r="G26" s="74" t="s">
        <v>33</v>
      </c>
      <c r="H26" s="59" t="s">
        <v>15</v>
      </c>
      <c r="I26" s="47">
        <f ca="1">IFERROR(__xludf.DUMMYFUNCTION("IMPORTRANGE(""https://docs.google.com/spreadsheets/d/1C3CXT74ZlgGe6_JY_1olB1XN4rF0dxEuIIF-xsYjHgg/edit?usp=sharing"",""พรบ!L66"")"),0)</f>
        <v>0</v>
      </c>
      <c r="J26" s="66">
        <v>0</v>
      </c>
      <c r="K26" s="232">
        <f t="shared" ca="1" si="6"/>
        <v>0</v>
      </c>
      <c r="L26" s="52"/>
      <c r="M26" s="52"/>
      <c r="N26" s="60"/>
    </row>
    <row r="27" spans="1:14" ht="21.75" customHeight="1" x14ac:dyDescent="0.55000000000000004">
      <c r="A27" s="54"/>
      <c r="B27" s="55"/>
      <c r="C27" s="55"/>
      <c r="D27" s="72"/>
      <c r="E27" s="76"/>
      <c r="F27" s="74"/>
      <c r="G27" s="75"/>
      <c r="H27" s="59" t="s">
        <v>16</v>
      </c>
      <c r="I27" s="47">
        <f ca="1">IFERROR(__xludf.DUMMYFUNCTION("IMPORTRANGE(""https://docs.google.com/spreadsheets/d/1C3CXT74ZlgGe6_JY_1olB1XN4rF0dxEuIIF-xsYjHgg/edit?usp=sharing"",""พรบ!M66"")"),0)</f>
        <v>0</v>
      </c>
      <c r="J27" s="66">
        <v>0</v>
      </c>
      <c r="K27" s="232">
        <f t="shared" ca="1" si="6"/>
        <v>0</v>
      </c>
      <c r="L27" s="52"/>
      <c r="M27" s="52"/>
      <c r="N27" s="60"/>
    </row>
    <row r="28" spans="1:14" ht="21.75" customHeight="1" x14ac:dyDescent="0.55000000000000004">
      <c r="A28" s="54"/>
      <c r="B28" s="55"/>
      <c r="C28" s="55"/>
      <c r="D28" s="72"/>
      <c r="E28" s="76"/>
      <c r="F28" s="73" t="s">
        <v>34</v>
      </c>
      <c r="G28" s="74"/>
      <c r="H28" s="59" t="s">
        <v>16</v>
      </c>
      <c r="I28" s="47">
        <f ca="1">IFERROR(__xludf.DUMMYFUNCTION("IMPORTRANGE(""https://docs.google.com/spreadsheets/d/1C3CXT74ZlgGe6_JY_1olB1XN4rF0dxEuIIF-xsYjHgg/edit?usp=sharing"",""พรบ!N66"")"),0)</f>
        <v>0</v>
      </c>
      <c r="J28" s="66">
        <v>0</v>
      </c>
      <c r="K28" s="232">
        <f t="shared" ca="1" si="6"/>
        <v>0</v>
      </c>
      <c r="L28" s="52"/>
      <c r="M28" s="52"/>
      <c r="N28" s="60"/>
    </row>
    <row r="29" spans="1:14" ht="21.75" customHeight="1" x14ac:dyDescent="0.55000000000000004">
      <c r="A29" s="54"/>
      <c r="B29" s="55"/>
      <c r="C29" s="55"/>
      <c r="D29" s="72"/>
      <c r="E29" s="73" t="s">
        <v>35</v>
      </c>
      <c r="F29" s="74"/>
      <c r="G29" s="75"/>
      <c r="H29" s="65"/>
      <c r="I29" s="66"/>
      <c r="J29" s="66">
        <v>0</v>
      </c>
      <c r="K29" s="232"/>
      <c r="L29" s="52"/>
      <c r="M29" s="52"/>
      <c r="N29" s="60"/>
    </row>
    <row r="30" spans="1:14" ht="21.75" customHeight="1" x14ac:dyDescent="0.55000000000000004">
      <c r="A30" s="54"/>
      <c r="B30" s="55"/>
      <c r="C30" s="55"/>
      <c r="D30" s="80">
        <v>3</v>
      </c>
      <c r="E30" s="81" t="s">
        <v>36</v>
      </c>
      <c r="F30" s="82"/>
      <c r="G30" s="83"/>
      <c r="H30" s="65"/>
      <c r="I30" s="66"/>
      <c r="J30" s="356">
        <v>0</v>
      </c>
      <c r="K30" s="232"/>
      <c r="L30" s="52"/>
      <c r="M30" s="52"/>
      <c r="N30" s="60"/>
    </row>
    <row r="31" spans="1:14" ht="21.75" customHeight="1" x14ac:dyDescent="0.55000000000000004">
      <c r="A31" s="85" t="s">
        <v>37</v>
      </c>
      <c r="B31" s="86"/>
      <c r="C31" s="87"/>
      <c r="D31" s="86"/>
      <c r="E31" s="88"/>
      <c r="F31" s="88"/>
      <c r="G31" s="89"/>
      <c r="H31" s="90"/>
      <c r="I31" s="91"/>
      <c r="J31" s="91"/>
      <c r="K31" s="92"/>
      <c r="L31" s="93"/>
      <c r="M31" s="93"/>
      <c r="N31" s="94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5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39">
        <f t="shared" ref="K32:K33" ca="1" si="9">IF(I32&gt;0,J32*100/I32,0)</f>
        <v>0</v>
      </c>
      <c r="L32" s="96">
        <f ca="1">L34+L35</f>
        <v>0</v>
      </c>
      <c r="M32" s="96">
        <f>SUM(M34:M35)</f>
        <v>0</v>
      </c>
      <c r="N32" s="39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5"/>
      <c r="H33" s="37" t="s">
        <v>40</v>
      </c>
      <c r="I33" s="38">
        <f ca="1">I48</f>
        <v>0</v>
      </c>
      <c r="J33" s="38">
        <f>+J48</f>
        <v>0</v>
      </c>
      <c r="K33" s="39">
        <f t="shared" ca="1" si="9"/>
        <v>0</v>
      </c>
      <c r="L33" s="96"/>
      <c r="M33" s="96"/>
      <c r="N33" s="39"/>
    </row>
    <row r="34" spans="1:14" ht="21.75" customHeight="1" x14ac:dyDescent="0.55000000000000004">
      <c r="A34" s="41"/>
      <c r="B34" s="42"/>
      <c r="C34" s="42" t="s">
        <v>17</v>
      </c>
      <c r="D34" s="43" t="s">
        <v>18</v>
      </c>
      <c r="E34" s="44"/>
      <c r="F34" s="44"/>
      <c r="G34" s="45" t="s">
        <v>19</v>
      </c>
      <c r="H34" s="46" t="s">
        <v>20</v>
      </c>
      <c r="I34" s="47" t="s">
        <v>21</v>
      </c>
      <c r="J34" s="47"/>
      <c r="K34" s="48"/>
      <c r="L34" s="52">
        <v>0</v>
      </c>
      <c r="M34" s="49">
        <v>0</v>
      </c>
      <c r="N34" s="49">
        <f t="shared" ref="N34:N37" si="10">+IF(L34&gt;0,M34*100/L34,0)</f>
        <v>0</v>
      </c>
    </row>
    <row r="35" spans="1:14" ht="21.75" customHeight="1" x14ac:dyDescent="0.55000000000000004">
      <c r="A35" s="41"/>
      <c r="B35" s="42"/>
      <c r="C35" s="42"/>
      <c r="D35" s="50"/>
      <c r="E35" s="44"/>
      <c r="F35" s="44" t="s">
        <v>21</v>
      </c>
      <c r="G35" s="45" t="s">
        <v>22</v>
      </c>
      <c r="H35" s="46" t="s">
        <v>20</v>
      </c>
      <c r="I35" s="47"/>
      <c r="J35" s="47"/>
      <c r="K35" s="48"/>
      <c r="L35" s="52">
        <f ca="1">IFERROR(__xludf.DUMMYFUNCTION("IMPORTRANGE(""https://docs.google.com/spreadsheets/d/1C3CXT74ZlgGe6_JY_1olB1XN4rF0dxEuIIF-xsYjHgg/edit?usp=sharing"",""พรบ!O66"")"),0)</f>
        <v>0</v>
      </c>
      <c r="M35" s="49">
        <f>SUM(M36:M37)</f>
        <v>0</v>
      </c>
      <c r="N35" s="49">
        <f t="shared" ca="1" si="10"/>
        <v>0</v>
      </c>
    </row>
    <row r="36" spans="1:14" ht="21.75" customHeight="1" x14ac:dyDescent="0.55000000000000004">
      <c r="A36" s="41"/>
      <c r="B36" s="42"/>
      <c r="C36" s="42"/>
      <c r="D36" s="50"/>
      <c r="E36" s="44"/>
      <c r="F36" s="44"/>
      <c r="G36" s="51" t="s">
        <v>23</v>
      </c>
      <c r="H36" s="46" t="s">
        <v>20</v>
      </c>
      <c r="I36" s="47"/>
      <c r="J36" s="47"/>
      <c r="K36" s="48"/>
      <c r="L36" s="52">
        <f ca="1">IFERROR(__xludf.DUMMYFUNCTION("IMPORTRANGE(""https://docs.google.com/spreadsheets/d/1C3CXT74ZlgGe6_JY_1olB1XN4rF0dxEuIIF-xsYjHgg/edit?usp=sharing"",""พรบ!P66"")"),0)</f>
        <v>0</v>
      </c>
      <c r="M36" s="52">
        <v>0</v>
      </c>
      <c r="N36" s="52">
        <f t="shared" ca="1" si="10"/>
        <v>0</v>
      </c>
    </row>
    <row r="37" spans="1:14" ht="21.75" customHeight="1" x14ac:dyDescent="0.55000000000000004">
      <c r="A37" s="41"/>
      <c r="B37" s="42"/>
      <c r="C37" s="42"/>
      <c r="D37" s="50"/>
      <c r="E37" s="44"/>
      <c r="F37" s="44"/>
      <c r="G37" s="51" t="s">
        <v>24</v>
      </c>
      <c r="H37" s="46" t="s">
        <v>20</v>
      </c>
      <c r="I37" s="47"/>
      <c r="J37" s="66"/>
      <c r="K37" s="232"/>
      <c r="L37" s="52">
        <f ca="1">IFERROR(__xludf.DUMMYFUNCTION("IMPORTRANGE(""https://docs.google.com/spreadsheets/d/1C3CXT74ZlgGe6_JY_1olB1XN4rF0dxEuIIF-xsYjHgg/edit?usp=sharing"",""พรบ!Q66"")"),0)</f>
        <v>0</v>
      </c>
      <c r="M37" s="52">
        <v>0</v>
      </c>
      <c r="N37" s="52">
        <f t="shared" ca="1" si="10"/>
        <v>0</v>
      </c>
    </row>
    <row r="38" spans="1:14" ht="21.75" customHeight="1" x14ac:dyDescent="0.55000000000000004">
      <c r="A38" s="54"/>
      <c r="B38" s="55"/>
      <c r="C38" s="42" t="s">
        <v>17</v>
      </c>
      <c r="D38" s="56" t="s">
        <v>25</v>
      </c>
      <c r="E38" s="57"/>
      <c r="F38" s="57"/>
      <c r="G38" s="58"/>
      <c r="H38" s="59"/>
      <c r="I38" s="47"/>
      <c r="J38" s="66"/>
      <c r="K38" s="232"/>
      <c r="L38" s="52"/>
      <c r="M38" s="52"/>
      <c r="N38" s="60"/>
    </row>
    <row r="39" spans="1:14" ht="21.75" customHeight="1" x14ac:dyDescent="0.55000000000000004">
      <c r="A39" s="54"/>
      <c r="B39" s="55"/>
      <c r="C39" s="55"/>
      <c r="D39" s="61">
        <v>1</v>
      </c>
      <c r="E39" s="62" t="s">
        <v>26</v>
      </c>
      <c r="F39" s="63"/>
      <c r="G39" s="64"/>
      <c r="H39" s="65"/>
      <c r="I39" s="66"/>
      <c r="J39" s="66">
        <v>0</v>
      </c>
      <c r="K39" s="232"/>
      <c r="L39" s="52"/>
      <c r="M39" s="52"/>
      <c r="N39" s="60"/>
    </row>
    <row r="40" spans="1:14" ht="21.75" customHeight="1" x14ac:dyDescent="0.55000000000000004">
      <c r="A40" s="54"/>
      <c r="B40" s="55"/>
      <c r="C40" s="55"/>
      <c r="D40" s="68">
        <v>2</v>
      </c>
      <c r="E40" s="69" t="s">
        <v>27</v>
      </c>
      <c r="F40" s="70"/>
      <c r="G40" s="71"/>
      <c r="H40" s="65"/>
      <c r="I40" s="66"/>
      <c r="J40" s="66">
        <v>0</v>
      </c>
      <c r="K40" s="232"/>
      <c r="L40" s="52" t="s">
        <v>21</v>
      </c>
      <c r="M40" s="52" t="s">
        <v>21</v>
      </c>
      <c r="N40" s="60"/>
    </row>
    <row r="41" spans="1:14" ht="21.75" customHeight="1" x14ac:dyDescent="0.55000000000000004">
      <c r="A41" s="54"/>
      <c r="B41" s="55"/>
      <c r="C41" s="55"/>
      <c r="D41" s="72"/>
      <c r="E41" s="73" t="s">
        <v>28</v>
      </c>
      <c r="F41" s="74"/>
      <c r="G41" s="75"/>
      <c r="H41" s="65"/>
      <c r="I41" s="66"/>
      <c r="J41" s="66">
        <v>0</v>
      </c>
      <c r="K41" s="232"/>
      <c r="L41" s="52"/>
      <c r="M41" s="52"/>
      <c r="N41" s="60"/>
    </row>
    <row r="42" spans="1:14" ht="21.75" customHeight="1" x14ac:dyDescent="0.55000000000000004">
      <c r="A42" s="54"/>
      <c r="B42" s="55"/>
      <c r="C42" s="55"/>
      <c r="D42" s="72"/>
      <c r="E42" s="73" t="s">
        <v>29</v>
      </c>
      <c r="F42" s="74"/>
      <c r="G42" s="75"/>
      <c r="H42" s="65"/>
      <c r="I42" s="66"/>
      <c r="J42" s="66">
        <v>0</v>
      </c>
      <c r="K42" s="232"/>
      <c r="L42" s="52"/>
      <c r="M42" s="52"/>
      <c r="N42" s="60"/>
    </row>
    <row r="43" spans="1:14" ht="21.75" customHeight="1" x14ac:dyDescent="0.55000000000000004">
      <c r="A43" s="54"/>
      <c r="B43" s="55"/>
      <c r="C43" s="55"/>
      <c r="D43" s="72"/>
      <c r="E43" s="74"/>
      <c r="F43" s="74" t="s">
        <v>41</v>
      </c>
      <c r="G43" s="74"/>
      <c r="H43" s="59" t="s">
        <v>42</v>
      </c>
      <c r="I43" s="47">
        <f ca="1">IFERROR(__xludf.DUMMYFUNCTION("IMPORTRANGE(""https://docs.google.com/spreadsheets/d/1C3CXT74ZlgGe6_JY_1olB1XN4rF0dxEuIIF-xsYjHgg/edit?usp=sharing"",""พรบ!R66"")"),0)</f>
        <v>0</v>
      </c>
      <c r="J43" s="66">
        <v>0</v>
      </c>
      <c r="K43" s="232">
        <f t="shared" ref="K43:K48" ca="1" si="11">IF(I43&gt;0,J43*100/I43,0)</f>
        <v>0</v>
      </c>
      <c r="L43" s="52"/>
      <c r="M43" s="52"/>
      <c r="N43" s="60"/>
    </row>
    <row r="44" spans="1:14" ht="21.75" customHeight="1" x14ac:dyDescent="0.55000000000000004">
      <c r="A44" s="54"/>
      <c r="B44" s="55"/>
      <c r="C44" s="55"/>
      <c r="D44" s="72"/>
      <c r="E44" s="76"/>
      <c r="F44" s="73" t="s">
        <v>43</v>
      </c>
      <c r="G44" s="74"/>
      <c r="H44" s="59" t="s">
        <v>16</v>
      </c>
      <c r="I44" s="47">
        <f ca="1">IFERROR(__xludf.DUMMYFUNCTION("IMPORTRANGE(""https://docs.google.com/spreadsheets/d/1C3CXT74ZlgGe6_JY_1olB1XN4rF0dxEuIIF-xsYjHgg/edit?usp=sharing"",""พรบ!S66"")"),0)</f>
        <v>0</v>
      </c>
      <c r="J44" s="66">
        <v>0</v>
      </c>
      <c r="K44" s="232">
        <f t="shared" ca="1" si="11"/>
        <v>0</v>
      </c>
      <c r="L44" s="52"/>
      <c r="M44" s="52"/>
      <c r="N44" s="60"/>
    </row>
    <row r="45" spans="1:14" ht="21.75" customHeight="1" x14ac:dyDescent="0.55000000000000004">
      <c r="A45" s="54"/>
      <c r="B45" s="55"/>
      <c r="C45" s="55"/>
      <c r="D45" s="72"/>
      <c r="E45" s="76"/>
      <c r="F45" s="74"/>
      <c r="G45" s="97" t="s">
        <v>44</v>
      </c>
      <c r="H45" s="59" t="s">
        <v>16</v>
      </c>
      <c r="I45" s="47">
        <f ca="1">IFERROR(__xludf.DUMMYFUNCTION("IMPORTRANGE(""https://docs.google.com/spreadsheets/d/1C3CXT74ZlgGe6_JY_1olB1XN4rF0dxEuIIF-xsYjHgg/edit?usp=sharing"",""พรบ!T66"")"),0)</f>
        <v>0</v>
      </c>
      <c r="J45" s="66">
        <v>0</v>
      </c>
      <c r="K45" s="232">
        <f t="shared" ca="1" si="11"/>
        <v>0</v>
      </c>
      <c r="L45" s="52"/>
      <c r="M45" s="52"/>
      <c r="N45" s="60"/>
    </row>
    <row r="46" spans="1:14" ht="21.75" customHeight="1" x14ac:dyDescent="0.55000000000000004">
      <c r="A46" s="54"/>
      <c r="B46" s="55"/>
      <c r="C46" s="55"/>
      <c r="D46" s="72"/>
      <c r="E46" s="76"/>
      <c r="F46" s="74"/>
      <c r="G46" s="97" t="s">
        <v>45</v>
      </c>
      <c r="H46" s="59" t="s">
        <v>16</v>
      </c>
      <c r="I46" s="47">
        <f ca="1">IFERROR(__xludf.DUMMYFUNCTION("IMPORTRANGE(""https://docs.google.com/spreadsheets/d/1C3CXT74ZlgGe6_JY_1olB1XN4rF0dxEuIIF-xsYjHgg/edit?usp=sharing"",""พรบ!U66"")"),0)</f>
        <v>0</v>
      </c>
      <c r="J46" s="66">
        <v>0</v>
      </c>
      <c r="K46" s="232">
        <f t="shared" ca="1" si="11"/>
        <v>0</v>
      </c>
      <c r="L46" s="52"/>
      <c r="M46" s="52"/>
      <c r="N46" s="60"/>
    </row>
    <row r="47" spans="1:14" ht="21.75" customHeight="1" x14ac:dyDescent="0.55000000000000004">
      <c r="A47" s="54"/>
      <c r="B47" s="55"/>
      <c r="C47" s="55"/>
      <c r="D47" s="72"/>
      <c r="E47" s="76"/>
      <c r="F47" s="74"/>
      <c r="G47" s="98" t="s">
        <v>46</v>
      </c>
      <c r="H47" s="59" t="s">
        <v>16</v>
      </c>
      <c r="I47" s="47">
        <f ca="1">IFERROR(__xludf.DUMMYFUNCTION("IMPORTRANGE(""https://docs.google.com/spreadsheets/d/1C3CXT74ZlgGe6_JY_1olB1XN4rF0dxEuIIF-xsYjHgg/edit?usp=sharing"",""พรบ!V66"")"),0)</f>
        <v>0</v>
      </c>
      <c r="J47" s="66">
        <v>0</v>
      </c>
      <c r="K47" s="232">
        <f t="shared" ca="1" si="11"/>
        <v>0</v>
      </c>
      <c r="L47" s="52"/>
      <c r="M47" s="52"/>
      <c r="N47" s="60"/>
    </row>
    <row r="48" spans="1:14" ht="21.75" customHeight="1" x14ac:dyDescent="0.55000000000000004">
      <c r="A48" s="54"/>
      <c r="B48" s="55"/>
      <c r="C48" s="55"/>
      <c r="D48" s="72"/>
      <c r="E48" s="76"/>
      <c r="F48" s="74" t="s">
        <v>47</v>
      </c>
      <c r="G48" s="74"/>
      <c r="H48" s="59" t="s">
        <v>40</v>
      </c>
      <c r="I48" s="47">
        <f ca="1">IFERROR(__xludf.DUMMYFUNCTION("IMPORTRANGE(""https://docs.google.com/spreadsheets/d/1C3CXT74ZlgGe6_JY_1olB1XN4rF0dxEuIIF-xsYjHgg/edit?usp=sharing"",""พรบ!W66"")"),0)</f>
        <v>0</v>
      </c>
      <c r="J48" s="66">
        <v>0</v>
      </c>
      <c r="K48" s="232">
        <f t="shared" ca="1" si="11"/>
        <v>0</v>
      </c>
      <c r="L48" s="52"/>
      <c r="M48" s="52"/>
      <c r="N48" s="60"/>
    </row>
    <row r="49" spans="1:14" ht="21.75" customHeight="1" x14ac:dyDescent="0.55000000000000004">
      <c r="A49" s="54"/>
      <c r="B49" s="55"/>
      <c r="C49" s="55"/>
      <c r="D49" s="72"/>
      <c r="E49" s="73" t="s">
        <v>35</v>
      </c>
      <c r="F49" s="74"/>
      <c r="G49" s="75"/>
      <c r="H49" s="65"/>
      <c r="I49" s="66"/>
      <c r="J49" s="66">
        <v>0</v>
      </c>
      <c r="K49" s="232"/>
      <c r="L49" s="52"/>
      <c r="M49" s="52"/>
      <c r="N49" s="60"/>
    </row>
    <row r="50" spans="1:14" ht="21.75" customHeight="1" x14ac:dyDescent="0.55000000000000004">
      <c r="A50" s="54"/>
      <c r="B50" s="55"/>
      <c r="C50" s="55"/>
      <c r="D50" s="80">
        <v>3</v>
      </c>
      <c r="E50" s="81" t="s">
        <v>36</v>
      </c>
      <c r="F50" s="82"/>
      <c r="G50" s="83"/>
      <c r="H50" s="65"/>
      <c r="I50" s="66"/>
      <c r="J50" s="356">
        <v>0</v>
      </c>
      <c r="K50" s="232"/>
      <c r="L50" s="52"/>
      <c r="M50" s="52"/>
      <c r="N50" s="60"/>
    </row>
    <row r="51" spans="1:14" ht="21.75" customHeight="1" x14ac:dyDescent="0.55000000000000004">
      <c r="A51" s="85" t="s">
        <v>48</v>
      </c>
      <c r="B51" s="99"/>
      <c r="C51" s="100"/>
      <c r="D51" s="99"/>
      <c r="E51" s="101"/>
      <c r="F51" s="101"/>
      <c r="G51" s="102"/>
      <c r="H51" s="90"/>
      <c r="I51" s="91"/>
      <c r="J51" s="91"/>
      <c r="K51" s="92"/>
      <c r="L51" s="93"/>
      <c r="M51" s="93"/>
      <c r="N51" s="94"/>
    </row>
    <row r="52" spans="1:14" ht="21.75" customHeight="1" x14ac:dyDescent="0.55000000000000004">
      <c r="A52" s="34"/>
      <c r="B52" s="35" t="s">
        <v>49</v>
      </c>
      <c r="C52" s="103"/>
      <c r="D52" s="36"/>
      <c r="E52" s="35"/>
      <c r="F52" s="35"/>
      <c r="G52" s="95"/>
      <c r="H52" s="37" t="s">
        <v>16</v>
      </c>
      <c r="I52" s="38">
        <f ca="1">I62</f>
        <v>0</v>
      </c>
      <c r="J52" s="38">
        <f>+J62</f>
        <v>0</v>
      </c>
      <c r="K52" s="39">
        <f ca="1">IF(I52&gt;0,J52*100/I52,0)</f>
        <v>0</v>
      </c>
      <c r="L52" s="40">
        <f ca="1">L53+L54</f>
        <v>0</v>
      </c>
      <c r="M52" s="40">
        <f>SUM(M53:M54)</f>
        <v>0</v>
      </c>
      <c r="N52" s="39">
        <f ca="1">IF(L52&gt;0,M52*100/L52,0)</f>
        <v>0</v>
      </c>
    </row>
    <row r="53" spans="1:14" ht="21.75" customHeight="1" x14ac:dyDescent="0.55000000000000004">
      <c r="A53" s="41"/>
      <c r="B53" s="42"/>
      <c r="C53" s="42" t="s">
        <v>17</v>
      </c>
      <c r="D53" s="43" t="s">
        <v>18</v>
      </c>
      <c r="E53" s="44"/>
      <c r="F53" s="44"/>
      <c r="G53" s="45" t="s">
        <v>19</v>
      </c>
      <c r="H53" s="46" t="s">
        <v>20</v>
      </c>
      <c r="I53" s="47" t="s">
        <v>21</v>
      </c>
      <c r="J53" s="47"/>
      <c r="K53" s="48"/>
      <c r="L53" s="49">
        <v>0</v>
      </c>
      <c r="M53" s="49">
        <v>0</v>
      </c>
      <c r="N53" s="49">
        <f t="shared" ref="N53:N56" si="12">+IF(L53&gt;0,M53*100/L53,0)</f>
        <v>0</v>
      </c>
    </row>
    <row r="54" spans="1:14" ht="21.75" customHeight="1" x14ac:dyDescent="0.55000000000000004">
      <c r="A54" s="41"/>
      <c r="B54" s="42"/>
      <c r="C54" s="42"/>
      <c r="D54" s="50"/>
      <c r="E54" s="44"/>
      <c r="F54" s="44" t="s">
        <v>21</v>
      </c>
      <c r="G54" s="45" t="s">
        <v>22</v>
      </c>
      <c r="H54" s="46" t="s">
        <v>20</v>
      </c>
      <c r="I54" s="47"/>
      <c r="J54" s="47"/>
      <c r="K54" s="48"/>
      <c r="L54" s="49">
        <f t="shared" ref="L54:M54" ca="1" si="13">SUM(L55:L56)</f>
        <v>0</v>
      </c>
      <c r="M54" s="49">
        <f t="shared" si="13"/>
        <v>0</v>
      </c>
      <c r="N54" s="49">
        <f t="shared" ca="1" si="12"/>
        <v>0</v>
      </c>
    </row>
    <row r="55" spans="1:14" ht="21.75" customHeight="1" x14ac:dyDescent="0.55000000000000004">
      <c r="A55" s="41"/>
      <c r="B55" s="42"/>
      <c r="C55" s="42"/>
      <c r="D55" s="50"/>
      <c r="E55" s="44"/>
      <c r="F55" s="44"/>
      <c r="G55" s="51" t="s">
        <v>23</v>
      </c>
      <c r="H55" s="46" t="s">
        <v>20</v>
      </c>
      <c r="I55" s="47"/>
      <c r="J55" s="47"/>
      <c r="K55" s="48"/>
      <c r="L55" s="52">
        <f ca="1">IFERROR(__xludf.DUMMYFUNCTION("IMPORTRANGE(""https://docs.google.com/spreadsheets/d/1C3CXT74ZlgGe6_JY_1olB1XN4rF0dxEuIIF-xsYjHgg/edit?usp=sharing"",""พรบ!Y66"")"),0)</f>
        <v>0</v>
      </c>
      <c r="M55" s="52">
        <v>0</v>
      </c>
      <c r="N55" s="52">
        <f t="shared" ca="1" si="12"/>
        <v>0</v>
      </c>
    </row>
    <row r="56" spans="1:14" ht="21.75" customHeight="1" x14ac:dyDescent="0.55000000000000004">
      <c r="A56" s="41"/>
      <c r="B56" s="42"/>
      <c r="C56" s="42"/>
      <c r="D56" s="50"/>
      <c r="E56" s="44"/>
      <c r="F56" s="44"/>
      <c r="G56" s="51" t="s">
        <v>24</v>
      </c>
      <c r="H56" s="46" t="s">
        <v>20</v>
      </c>
      <c r="I56" s="47"/>
      <c r="J56" s="66"/>
      <c r="K56" s="232"/>
      <c r="L56" s="52">
        <f ca="1">IFERROR(__xludf.DUMMYFUNCTION("IMPORTRANGE(""https://docs.google.com/spreadsheets/d/1C3CXT74ZlgGe6_JY_1olB1XN4rF0dxEuIIF-xsYjHgg/edit?usp=sharing"",""พรบ!Z66"")"),0)</f>
        <v>0</v>
      </c>
      <c r="M56" s="52">
        <v>0</v>
      </c>
      <c r="N56" s="52">
        <f t="shared" ca="1" si="12"/>
        <v>0</v>
      </c>
    </row>
    <row r="57" spans="1:14" ht="21.75" customHeight="1" x14ac:dyDescent="0.55000000000000004">
      <c r="A57" s="54"/>
      <c r="B57" s="55"/>
      <c r="C57" s="42" t="s">
        <v>17</v>
      </c>
      <c r="D57" s="56" t="s">
        <v>247</v>
      </c>
      <c r="E57" s="57"/>
      <c r="F57" s="57"/>
      <c r="G57" s="58"/>
      <c r="H57" s="59"/>
      <c r="I57" s="47"/>
      <c r="J57" s="66"/>
      <c r="K57" s="232"/>
      <c r="L57" s="52"/>
      <c r="M57" s="52"/>
      <c r="N57" s="60"/>
    </row>
    <row r="58" spans="1:14" ht="21.75" customHeight="1" x14ac:dyDescent="0.55000000000000004">
      <c r="A58" s="54"/>
      <c r="B58" s="55"/>
      <c r="C58" s="55"/>
      <c r="D58" s="61">
        <v>1</v>
      </c>
      <c r="E58" s="62" t="s">
        <v>26</v>
      </c>
      <c r="F58" s="63"/>
      <c r="G58" s="64"/>
      <c r="H58" s="65"/>
      <c r="I58" s="66"/>
      <c r="J58" s="66">
        <v>0</v>
      </c>
      <c r="K58" s="232"/>
      <c r="L58" s="52"/>
      <c r="M58" s="52"/>
      <c r="N58" s="60"/>
    </row>
    <row r="59" spans="1:14" ht="21.75" customHeight="1" x14ac:dyDescent="0.55000000000000004">
      <c r="A59" s="54"/>
      <c r="B59" s="55"/>
      <c r="C59" s="55"/>
      <c r="D59" s="68">
        <v>2</v>
      </c>
      <c r="E59" s="69" t="s">
        <v>27</v>
      </c>
      <c r="F59" s="70"/>
      <c r="G59" s="71"/>
      <c r="H59" s="65"/>
      <c r="I59" s="66"/>
      <c r="J59" s="66">
        <v>0</v>
      </c>
      <c r="K59" s="232"/>
      <c r="L59" s="52" t="s">
        <v>21</v>
      </c>
      <c r="M59" s="52" t="s">
        <v>21</v>
      </c>
      <c r="N59" s="60"/>
    </row>
    <row r="60" spans="1:14" ht="21.75" customHeight="1" x14ac:dyDescent="0.55000000000000004">
      <c r="A60" s="54"/>
      <c r="B60" s="55"/>
      <c r="C60" s="55"/>
      <c r="D60" s="72"/>
      <c r="E60" s="73" t="s">
        <v>28</v>
      </c>
      <c r="F60" s="74"/>
      <c r="G60" s="75"/>
      <c r="H60" s="65"/>
      <c r="I60" s="66"/>
      <c r="J60" s="66">
        <v>0</v>
      </c>
      <c r="K60" s="232"/>
      <c r="L60" s="52"/>
      <c r="M60" s="52"/>
      <c r="N60" s="60"/>
    </row>
    <row r="61" spans="1:14" ht="21.75" customHeight="1" x14ac:dyDescent="0.55000000000000004">
      <c r="A61" s="54"/>
      <c r="B61" s="55"/>
      <c r="C61" s="55"/>
      <c r="D61" s="72"/>
      <c r="E61" s="73" t="s">
        <v>29</v>
      </c>
      <c r="F61" s="74"/>
      <c r="G61" s="75"/>
      <c r="H61" s="65"/>
      <c r="I61" s="66"/>
      <c r="J61" s="66">
        <v>0</v>
      </c>
      <c r="K61" s="232"/>
      <c r="L61" s="52"/>
      <c r="M61" s="52"/>
      <c r="N61" s="60"/>
    </row>
    <row r="62" spans="1:14" ht="21.75" customHeight="1" x14ac:dyDescent="0.55000000000000004">
      <c r="A62" s="54"/>
      <c r="B62" s="55"/>
      <c r="C62" s="55"/>
      <c r="D62" s="72"/>
      <c r="E62" s="76"/>
      <c r="F62" s="73" t="s">
        <v>50</v>
      </c>
      <c r="G62" s="75"/>
      <c r="H62" s="59" t="s">
        <v>16</v>
      </c>
      <c r="I62" s="66">
        <f ca="1">IFERROR(__xludf.DUMMYFUNCTION("IMPORTRANGE(""https://docs.google.com/spreadsheets/d/1C3CXT74ZlgGe6_JY_1olB1XN4rF0dxEuIIF-xsYjHgg/edit?usp=sharing"",""พรบ!AA66"")"),0)</f>
        <v>0</v>
      </c>
      <c r="J62" s="66">
        <v>0</v>
      </c>
      <c r="K62" s="232">
        <f t="shared" ref="K62:K63" ca="1" si="14">IF(I62&gt;0,J62*100/I62,0)</f>
        <v>0</v>
      </c>
      <c r="L62" s="52"/>
      <c r="M62" s="52"/>
      <c r="N62" s="60"/>
    </row>
    <row r="63" spans="1:14" ht="21.75" customHeight="1" x14ac:dyDescent="0.55000000000000004">
      <c r="A63" s="54"/>
      <c r="B63" s="55"/>
      <c r="C63" s="55"/>
      <c r="D63" s="72"/>
      <c r="E63" s="76"/>
      <c r="F63" s="73" t="s">
        <v>51</v>
      </c>
      <c r="G63" s="75"/>
      <c r="H63" s="59" t="s">
        <v>16</v>
      </c>
      <c r="I63" s="66">
        <f ca="1">I62</f>
        <v>0</v>
      </c>
      <c r="J63" s="66">
        <v>0</v>
      </c>
      <c r="K63" s="232">
        <f t="shared" ca="1" si="14"/>
        <v>0</v>
      </c>
      <c r="L63" s="52"/>
      <c r="M63" s="52"/>
      <c r="N63" s="60"/>
    </row>
    <row r="64" spans="1:14" ht="21.75" customHeight="1" x14ac:dyDescent="0.55000000000000004">
      <c r="A64" s="54"/>
      <c r="B64" s="55"/>
      <c r="C64" s="55"/>
      <c r="D64" s="72"/>
      <c r="E64" s="73" t="s">
        <v>35</v>
      </c>
      <c r="F64" s="74"/>
      <c r="G64" s="75"/>
      <c r="H64" s="65"/>
      <c r="I64" s="66"/>
      <c r="J64" s="66">
        <v>0</v>
      </c>
      <c r="K64" s="232"/>
      <c r="L64" s="52"/>
      <c r="M64" s="52"/>
      <c r="N64" s="60"/>
    </row>
    <row r="65" spans="1:14" ht="21.75" customHeight="1" x14ac:dyDescent="0.55000000000000004">
      <c r="A65" s="104"/>
      <c r="B65" s="105"/>
      <c r="C65" s="105"/>
      <c r="D65" s="106">
        <v>3</v>
      </c>
      <c r="E65" s="107" t="s">
        <v>36</v>
      </c>
      <c r="F65" s="108"/>
      <c r="G65" s="109"/>
      <c r="H65" s="110"/>
      <c r="I65" s="111"/>
      <c r="J65" s="357">
        <v>0</v>
      </c>
      <c r="K65" s="358"/>
      <c r="L65" s="359"/>
      <c r="M65" s="359"/>
      <c r="N65" s="114"/>
    </row>
    <row r="66" spans="1:14" ht="21.75" customHeight="1" x14ac:dyDescent="0.55000000000000004">
      <c r="A66" s="115" t="s">
        <v>52</v>
      </c>
      <c r="B66" s="116"/>
      <c r="C66" s="116"/>
      <c r="D66" s="116"/>
      <c r="E66" s="117"/>
      <c r="F66" s="117"/>
      <c r="G66" s="118"/>
      <c r="H66" s="119"/>
      <c r="I66" s="120"/>
      <c r="J66" s="120"/>
      <c r="K66" s="121"/>
      <c r="L66" s="122"/>
      <c r="M66" s="122"/>
      <c r="N66" s="122"/>
    </row>
    <row r="67" spans="1:14" ht="21.75" customHeight="1" x14ac:dyDescent="0.55000000000000004">
      <c r="A67" s="123" t="s">
        <v>53</v>
      </c>
      <c r="B67" s="124"/>
      <c r="C67" s="124"/>
      <c r="D67" s="125"/>
      <c r="E67" s="125"/>
      <c r="F67" s="125"/>
      <c r="G67" s="126"/>
      <c r="H67" s="127"/>
      <c r="I67" s="128"/>
      <c r="J67" s="128"/>
      <c r="K67" s="129"/>
      <c r="L67" s="129"/>
      <c r="M67" s="129"/>
      <c r="N67" s="130"/>
    </row>
    <row r="68" spans="1:14" ht="21.75" customHeight="1" x14ac:dyDescent="0.55000000000000004">
      <c r="A68" s="131"/>
      <c r="B68" s="132" t="s">
        <v>54</v>
      </c>
      <c r="C68" s="133"/>
      <c r="D68" s="132"/>
      <c r="E68" s="132"/>
      <c r="F68" s="132"/>
      <c r="G68" s="134"/>
      <c r="H68" s="135" t="s">
        <v>16</v>
      </c>
      <c r="I68" s="136">
        <f t="shared" ref="I68:J68" ca="1" si="15">I126+I129</f>
        <v>20</v>
      </c>
      <c r="J68" s="136">
        <f t="shared" si="15"/>
        <v>0</v>
      </c>
      <c r="K68" s="137">
        <f ca="1">IF(I68&gt;0,J68*100/I68,0)</f>
        <v>0</v>
      </c>
      <c r="L68" s="138">
        <f t="shared" ref="L68:M68" ca="1" si="16">SUM(L70:L71)</f>
        <v>567900</v>
      </c>
      <c r="M68" s="138">
        <f t="shared" si="16"/>
        <v>0</v>
      </c>
      <c r="N68" s="137">
        <f ca="1">IF(L68&gt;0,M68*100/L68,0)</f>
        <v>0</v>
      </c>
    </row>
    <row r="69" spans="1:14" ht="21.75" customHeight="1" x14ac:dyDescent="0.55000000000000004">
      <c r="A69" s="131"/>
      <c r="B69" s="132" t="s">
        <v>55</v>
      </c>
      <c r="C69" s="133"/>
      <c r="D69" s="132"/>
      <c r="E69" s="132"/>
      <c r="F69" s="132"/>
      <c r="G69" s="134"/>
      <c r="H69" s="135"/>
      <c r="I69" s="136"/>
      <c r="J69" s="136"/>
      <c r="K69" s="137"/>
      <c r="L69" s="138"/>
      <c r="M69" s="138"/>
      <c r="N69" s="137"/>
    </row>
    <row r="70" spans="1:14" ht="21.75" customHeight="1" x14ac:dyDescent="0.55000000000000004">
      <c r="A70" s="41"/>
      <c r="B70" s="42"/>
      <c r="C70" s="42" t="s">
        <v>17</v>
      </c>
      <c r="D70" s="43" t="s">
        <v>18</v>
      </c>
      <c r="E70" s="44"/>
      <c r="F70" s="44"/>
      <c r="G70" s="45" t="s">
        <v>19</v>
      </c>
      <c r="H70" s="46" t="s">
        <v>20</v>
      </c>
      <c r="I70" s="47" t="s">
        <v>21</v>
      </c>
      <c r="J70" s="47"/>
      <c r="K70" s="48"/>
      <c r="L70" s="49">
        <v>0</v>
      </c>
      <c r="M70" s="49">
        <v>0</v>
      </c>
      <c r="N70" s="49">
        <f t="shared" ref="N70:N77" si="17">+IF(L70&gt;0,M70*100/L70,0)</f>
        <v>0</v>
      </c>
    </row>
    <row r="71" spans="1:14" ht="21.75" customHeight="1" x14ac:dyDescent="0.55000000000000004">
      <c r="A71" s="41"/>
      <c r="B71" s="42"/>
      <c r="C71" s="42"/>
      <c r="D71" s="50"/>
      <c r="E71" s="44"/>
      <c r="F71" s="44" t="s">
        <v>21</v>
      </c>
      <c r="G71" s="45" t="s">
        <v>22</v>
      </c>
      <c r="H71" s="46" t="s">
        <v>20</v>
      </c>
      <c r="I71" s="47"/>
      <c r="J71" s="47"/>
      <c r="K71" s="48"/>
      <c r="L71" s="49">
        <f ca="1">L72+L73</f>
        <v>567900</v>
      </c>
      <c r="M71" s="139">
        <f>SUM(M72:M73)</f>
        <v>0</v>
      </c>
      <c r="N71" s="49">
        <f t="shared" ca="1" si="17"/>
        <v>0</v>
      </c>
    </row>
    <row r="72" spans="1:14" ht="21.75" customHeight="1" x14ac:dyDescent="0.55000000000000004">
      <c r="A72" s="41"/>
      <c r="B72" s="42"/>
      <c r="C72" s="42"/>
      <c r="D72" s="50"/>
      <c r="E72" s="44"/>
      <c r="F72" s="44"/>
      <c r="G72" s="51" t="s">
        <v>23</v>
      </c>
      <c r="H72" s="46" t="s">
        <v>20</v>
      </c>
      <c r="I72" s="47"/>
      <c r="J72" s="47"/>
      <c r="K72" s="48"/>
      <c r="L72" s="52">
        <f ca="1">IFERROR(__xludf.DUMMYFUNCTION("IMPORTRANGE(""https://docs.google.com/spreadsheets/d/1C3CXT74ZlgGe6_JY_1olB1XN4rF0dxEuIIF-xsYjHgg/edit?usp=sharing"",""พรบ!AD66"")"),310700)</f>
        <v>310700</v>
      </c>
      <c r="M72" s="53">
        <v>0</v>
      </c>
      <c r="N72" s="52">
        <f t="shared" ca="1" si="17"/>
        <v>0</v>
      </c>
    </row>
    <row r="73" spans="1:14" ht="21.75" customHeight="1" x14ac:dyDescent="0.55000000000000004">
      <c r="A73" s="41"/>
      <c r="B73" s="42"/>
      <c r="C73" s="42"/>
      <c r="D73" s="50"/>
      <c r="E73" s="44"/>
      <c r="F73" s="44"/>
      <c r="G73" s="51" t="s">
        <v>24</v>
      </c>
      <c r="H73" s="46" t="s">
        <v>20</v>
      </c>
      <c r="I73" s="47"/>
      <c r="J73" s="47"/>
      <c r="K73" s="48"/>
      <c r="L73" s="52">
        <f t="shared" ref="L73:M73" ca="1" si="18">L77+L92+L104+L117+L132</f>
        <v>257200</v>
      </c>
      <c r="M73" s="52">
        <f t="shared" si="18"/>
        <v>0</v>
      </c>
      <c r="N73" s="52">
        <f t="shared" ca="1" si="17"/>
        <v>0</v>
      </c>
    </row>
    <row r="74" spans="1:14" ht="21.75" customHeight="1" x14ac:dyDescent="0.55000000000000004">
      <c r="A74" s="140"/>
      <c r="B74" s="141"/>
      <c r="C74" s="142" t="s">
        <v>56</v>
      </c>
      <c r="D74" s="142"/>
      <c r="E74" s="142"/>
      <c r="F74" s="142"/>
      <c r="G74" s="143"/>
      <c r="H74" s="144" t="s">
        <v>57</v>
      </c>
      <c r="I74" s="145">
        <f t="shared" ref="I74:J74" ca="1" si="19">I83</f>
        <v>4</v>
      </c>
      <c r="J74" s="145">
        <f t="shared" si="19"/>
        <v>0</v>
      </c>
      <c r="K74" s="146">
        <f ca="1">IF(I74&gt;0,J74*100/I74,0)</f>
        <v>0</v>
      </c>
      <c r="L74" s="147">
        <f ca="1">L75+L76</f>
        <v>7500</v>
      </c>
      <c r="M74" s="147">
        <f>SUM(M75:M76)</f>
        <v>0</v>
      </c>
      <c r="N74" s="147">
        <f t="shared" ca="1" si="17"/>
        <v>0</v>
      </c>
    </row>
    <row r="75" spans="1:14" ht="21.75" customHeight="1" x14ac:dyDescent="0.55000000000000004">
      <c r="A75" s="41"/>
      <c r="B75" s="42"/>
      <c r="C75" s="42" t="s">
        <v>17</v>
      </c>
      <c r="D75" s="43" t="s">
        <v>18</v>
      </c>
      <c r="E75" s="44"/>
      <c r="F75" s="44"/>
      <c r="G75" s="45" t="s">
        <v>19</v>
      </c>
      <c r="H75" s="46" t="s">
        <v>20</v>
      </c>
      <c r="I75" s="47" t="s">
        <v>21</v>
      </c>
      <c r="J75" s="47"/>
      <c r="K75" s="48"/>
      <c r="L75" s="49">
        <v>0</v>
      </c>
      <c r="M75" s="49">
        <v>0</v>
      </c>
      <c r="N75" s="49">
        <f t="shared" si="17"/>
        <v>0</v>
      </c>
    </row>
    <row r="76" spans="1:14" ht="21.75" customHeight="1" x14ac:dyDescent="0.55000000000000004">
      <c r="A76" s="41"/>
      <c r="B76" s="42"/>
      <c r="C76" s="42"/>
      <c r="D76" s="50"/>
      <c r="E76" s="44"/>
      <c r="F76" s="44" t="s">
        <v>21</v>
      </c>
      <c r="G76" s="45" t="s">
        <v>22</v>
      </c>
      <c r="H76" s="46" t="s">
        <v>20</v>
      </c>
      <c r="I76" s="47"/>
      <c r="J76" s="47"/>
      <c r="K76" s="48"/>
      <c r="L76" s="49">
        <f t="shared" ref="L76:M76" ca="1" si="20">L77</f>
        <v>7500</v>
      </c>
      <c r="M76" s="49">
        <f t="shared" si="20"/>
        <v>0</v>
      </c>
      <c r="N76" s="49">
        <f t="shared" ca="1" si="17"/>
        <v>0</v>
      </c>
    </row>
    <row r="77" spans="1:14" ht="21.75" customHeight="1" x14ac:dyDescent="0.55000000000000004">
      <c r="A77" s="41"/>
      <c r="B77" s="42"/>
      <c r="C77" s="42"/>
      <c r="D77" s="50"/>
      <c r="E77" s="44"/>
      <c r="F77" s="44"/>
      <c r="G77" s="51" t="s">
        <v>24</v>
      </c>
      <c r="H77" s="46" t="s">
        <v>20</v>
      </c>
      <c r="I77" s="47"/>
      <c r="J77" s="47"/>
      <c r="K77" s="48"/>
      <c r="L77" s="52">
        <f ca="1">IFERROR(__xludf.DUMMYFUNCTION("IMPORTRANGE(""https://docs.google.com/spreadsheets/d/1C3CXT74ZlgGe6_JY_1olB1XN4rF0dxEuIIF-xsYjHgg/edit?usp=sharing"",""พรบ!AF66"")"),7500)</f>
        <v>7500</v>
      </c>
      <c r="M77" s="53">
        <v>0</v>
      </c>
      <c r="N77" s="52">
        <f t="shared" ca="1" si="17"/>
        <v>0</v>
      </c>
    </row>
    <row r="78" spans="1:14" ht="21.75" customHeight="1" x14ac:dyDescent="0.55000000000000004">
      <c r="A78" s="54"/>
      <c r="B78" s="55"/>
      <c r="C78" s="42" t="s">
        <v>17</v>
      </c>
      <c r="D78" s="56" t="s">
        <v>25</v>
      </c>
      <c r="E78" s="57"/>
      <c r="F78" s="57"/>
      <c r="G78" s="58"/>
      <c r="H78" s="59"/>
      <c r="I78" s="47"/>
      <c r="J78" s="47"/>
      <c r="K78" s="48"/>
      <c r="L78" s="60"/>
      <c r="M78" s="60"/>
      <c r="N78" s="60"/>
    </row>
    <row r="79" spans="1:14" ht="21.75" customHeight="1" x14ac:dyDescent="0.55000000000000004">
      <c r="A79" s="54"/>
      <c r="B79" s="55"/>
      <c r="C79" s="55"/>
      <c r="D79" s="61">
        <v>1</v>
      </c>
      <c r="E79" s="62" t="s">
        <v>26</v>
      </c>
      <c r="F79" s="63"/>
      <c r="G79" s="64"/>
      <c r="H79" s="65"/>
      <c r="I79" s="66"/>
      <c r="J79" s="67">
        <v>1</v>
      </c>
      <c r="K79" s="48"/>
      <c r="L79" s="60"/>
      <c r="M79" s="60"/>
      <c r="N79" s="60"/>
    </row>
    <row r="80" spans="1:14" ht="21.75" customHeight="1" x14ac:dyDescent="0.55000000000000004">
      <c r="A80" s="54"/>
      <c r="B80" s="55"/>
      <c r="C80" s="55"/>
      <c r="D80" s="68">
        <v>2</v>
      </c>
      <c r="E80" s="69" t="s">
        <v>27</v>
      </c>
      <c r="F80" s="70"/>
      <c r="G80" s="71"/>
      <c r="H80" s="65"/>
      <c r="I80" s="66"/>
      <c r="J80" s="67">
        <v>0</v>
      </c>
      <c r="K80" s="48"/>
      <c r="L80" s="60" t="s">
        <v>21</v>
      </c>
      <c r="M80" s="60" t="s">
        <v>21</v>
      </c>
      <c r="N80" s="60"/>
    </row>
    <row r="81" spans="1:14" ht="21.75" customHeight="1" x14ac:dyDescent="0.55000000000000004">
      <c r="A81" s="54"/>
      <c r="B81" s="55"/>
      <c r="C81" s="55"/>
      <c r="D81" s="72"/>
      <c r="E81" s="73" t="s">
        <v>28</v>
      </c>
      <c r="F81" s="74"/>
      <c r="G81" s="75"/>
      <c r="H81" s="65"/>
      <c r="I81" s="66"/>
      <c r="J81" s="67">
        <v>0</v>
      </c>
      <c r="K81" s="48"/>
      <c r="L81" s="60"/>
      <c r="M81" s="60"/>
      <c r="N81" s="60"/>
    </row>
    <row r="82" spans="1:14" ht="21.75" customHeight="1" x14ac:dyDescent="0.55000000000000004">
      <c r="A82" s="54"/>
      <c r="B82" s="55"/>
      <c r="C82" s="55"/>
      <c r="D82" s="72"/>
      <c r="E82" s="73" t="s">
        <v>29</v>
      </c>
      <c r="F82" s="74"/>
      <c r="G82" s="75"/>
      <c r="H82" s="65"/>
      <c r="I82" s="66"/>
      <c r="J82" s="67">
        <v>0</v>
      </c>
      <c r="K82" s="48"/>
      <c r="L82" s="60"/>
      <c r="M82" s="60"/>
      <c r="N82" s="60"/>
    </row>
    <row r="83" spans="1:14" ht="21.75" customHeight="1" x14ac:dyDescent="0.55000000000000004">
      <c r="A83" s="54"/>
      <c r="B83" s="55"/>
      <c r="C83" s="55"/>
      <c r="D83" s="72"/>
      <c r="E83" s="76"/>
      <c r="F83" s="73" t="s">
        <v>58</v>
      </c>
      <c r="G83" s="75"/>
      <c r="H83" s="59" t="s">
        <v>57</v>
      </c>
      <c r="I83" s="66">
        <f ca="1">IFERROR(__xludf.DUMMYFUNCTION("IMPORTRANGE(""https://docs.google.com/spreadsheets/d/1C3CXT74ZlgGe6_JY_1olB1XN4rF0dxEuIIF-xsYjHgg/edit?usp=sharing"",""พรบ!AG66"")"),4)</f>
        <v>4</v>
      </c>
      <c r="J83" s="67">
        <v>0</v>
      </c>
      <c r="K83" s="48">
        <f ca="1">IF(I83&gt;0,J83*100/I83,0)</f>
        <v>0</v>
      </c>
      <c r="L83" s="60"/>
      <c r="M83" s="60"/>
      <c r="N83" s="60"/>
    </row>
    <row r="84" spans="1:14" ht="21.75" customHeight="1" x14ac:dyDescent="0.55000000000000004">
      <c r="A84" s="54"/>
      <c r="B84" s="55"/>
      <c r="C84" s="55"/>
      <c r="D84" s="72"/>
      <c r="E84" s="74"/>
      <c r="F84" s="74" t="s">
        <v>59</v>
      </c>
      <c r="G84" s="75"/>
      <c r="H84" s="65" t="s">
        <v>16</v>
      </c>
      <c r="I84" s="66"/>
      <c r="J84" s="66">
        <f>J85+J86</f>
        <v>0</v>
      </c>
      <c r="K84" s="48"/>
      <c r="L84" s="60"/>
      <c r="M84" s="60"/>
      <c r="N84" s="60"/>
    </row>
    <row r="85" spans="1:14" ht="21.75" customHeight="1" x14ac:dyDescent="0.55000000000000004">
      <c r="A85" s="54"/>
      <c r="B85" s="55"/>
      <c r="C85" s="55"/>
      <c r="D85" s="72"/>
      <c r="E85" s="74"/>
      <c r="F85" s="74"/>
      <c r="G85" s="75" t="s">
        <v>60</v>
      </c>
      <c r="H85" s="65" t="s">
        <v>16</v>
      </c>
      <c r="I85" s="66"/>
      <c r="J85" s="360">
        <v>0</v>
      </c>
      <c r="K85" s="48"/>
      <c r="L85" s="60"/>
      <c r="M85" s="60"/>
      <c r="N85" s="60"/>
    </row>
    <row r="86" spans="1:14" ht="21.75" customHeight="1" x14ac:dyDescent="0.55000000000000004">
      <c r="A86" s="54"/>
      <c r="B86" s="55"/>
      <c r="C86" s="55"/>
      <c r="D86" s="72"/>
      <c r="E86" s="74"/>
      <c r="F86" s="74"/>
      <c r="G86" s="75" t="s">
        <v>61</v>
      </c>
      <c r="H86" s="65" t="s">
        <v>16</v>
      </c>
      <c r="I86" s="66"/>
      <c r="J86" s="360">
        <v>0</v>
      </c>
      <c r="K86" s="48"/>
      <c r="L86" s="60"/>
      <c r="M86" s="60"/>
      <c r="N86" s="60"/>
    </row>
    <row r="87" spans="1:14" ht="21.75" customHeight="1" x14ac:dyDescent="0.55000000000000004">
      <c r="A87" s="54"/>
      <c r="B87" s="55"/>
      <c r="C87" s="55"/>
      <c r="D87" s="72"/>
      <c r="E87" s="73" t="s">
        <v>35</v>
      </c>
      <c r="F87" s="74"/>
      <c r="G87" s="75"/>
      <c r="H87" s="65"/>
      <c r="I87" s="66"/>
      <c r="J87" s="67">
        <v>0</v>
      </c>
      <c r="K87" s="48"/>
      <c r="L87" s="60"/>
      <c r="M87" s="60"/>
      <c r="N87" s="60"/>
    </row>
    <row r="88" spans="1:14" ht="21.75" customHeight="1" x14ac:dyDescent="0.55000000000000004">
      <c r="A88" s="54"/>
      <c r="B88" s="55"/>
      <c r="C88" s="55"/>
      <c r="D88" s="80">
        <v>3</v>
      </c>
      <c r="E88" s="81" t="s">
        <v>36</v>
      </c>
      <c r="F88" s="82"/>
      <c r="G88" s="83"/>
      <c r="H88" s="65"/>
      <c r="I88" s="66"/>
      <c r="J88" s="84">
        <v>0</v>
      </c>
      <c r="K88" s="48"/>
      <c r="L88" s="60"/>
      <c r="M88" s="60"/>
      <c r="N88" s="60"/>
    </row>
    <row r="89" spans="1:14" ht="21.75" customHeight="1" x14ac:dyDescent="0.55000000000000004">
      <c r="A89" s="140"/>
      <c r="B89" s="141"/>
      <c r="C89" s="142" t="s">
        <v>62</v>
      </c>
      <c r="D89" s="142"/>
      <c r="E89" s="142"/>
      <c r="F89" s="142"/>
      <c r="G89" s="143"/>
      <c r="H89" s="148" t="s">
        <v>63</v>
      </c>
      <c r="I89" s="149">
        <f t="shared" ref="I89:J89" ca="1" si="21">I98</f>
        <v>3</v>
      </c>
      <c r="J89" s="149">
        <f t="shared" si="21"/>
        <v>0</v>
      </c>
      <c r="K89" s="150">
        <f ca="1">IF(I89&gt;0,J89*100/I89,0)</f>
        <v>0</v>
      </c>
      <c r="L89" s="147">
        <f ca="1">L90+L91</f>
        <v>42000</v>
      </c>
      <c r="M89" s="147">
        <f>SUM(M90:M91)</f>
        <v>0</v>
      </c>
      <c r="N89" s="147">
        <f t="shared" ref="N89:N92" ca="1" si="22">+IF(L89&gt;0,M89*100/L89,0)</f>
        <v>0</v>
      </c>
    </row>
    <row r="90" spans="1:14" ht="21.75" customHeight="1" x14ac:dyDescent="0.55000000000000004">
      <c r="A90" s="41"/>
      <c r="B90" s="42"/>
      <c r="C90" s="42" t="s">
        <v>17</v>
      </c>
      <c r="D90" s="43" t="s">
        <v>18</v>
      </c>
      <c r="E90" s="44"/>
      <c r="F90" s="44"/>
      <c r="G90" s="45" t="s">
        <v>19</v>
      </c>
      <c r="H90" s="46" t="s">
        <v>20</v>
      </c>
      <c r="I90" s="47" t="s">
        <v>21</v>
      </c>
      <c r="J90" s="47"/>
      <c r="K90" s="48"/>
      <c r="L90" s="49">
        <v>0</v>
      </c>
      <c r="M90" s="49">
        <v>0</v>
      </c>
      <c r="N90" s="49">
        <f t="shared" si="22"/>
        <v>0</v>
      </c>
    </row>
    <row r="91" spans="1:14" ht="21.75" customHeight="1" x14ac:dyDescent="0.55000000000000004">
      <c r="A91" s="41"/>
      <c r="B91" s="42"/>
      <c r="C91" s="42"/>
      <c r="D91" s="50"/>
      <c r="E91" s="44"/>
      <c r="F91" s="44" t="s">
        <v>21</v>
      </c>
      <c r="G91" s="45" t="s">
        <v>22</v>
      </c>
      <c r="H91" s="46" t="s">
        <v>20</v>
      </c>
      <c r="I91" s="47"/>
      <c r="J91" s="47"/>
      <c r="K91" s="48"/>
      <c r="L91" s="49">
        <f t="shared" ref="L91:M91" ca="1" si="23">L92</f>
        <v>42000</v>
      </c>
      <c r="M91" s="49">
        <f t="shared" si="23"/>
        <v>0</v>
      </c>
      <c r="N91" s="49">
        <f t="shared" ca="1" si="22"/>
        <v>0</v>
      </c>
    </row>
    <row r="92" spans="1:14" ht="21.75" customHeight="1" x14ac:dyDescent="0.55000000000000004">
      <c r="A92" s="41"/>
      <c r="B92" s="42"/>
      <c r="C92" s="42"/>
      <c r="D92" s="50"/>
      <c r="E92" s="44"/>
      <c r="F92" s="44"/>
      <c r="G92" s="51" t="s">
        <v>24</v>
      </c>
      <c r="H92" s="46" t="s">
        <v>20</v>
      </c>
      <c r="I92" s="47"/>
      <c r="J92" s="47"/>
      <c r="K92" s="48"/>
      <c r="L92" s="52">
        <f ca="1">IFERROR(__xludf.DUMMYFUNCTION("IMPORTRANGE(""https://docs.google.com/spreadsheets/d/1C3CXT74ZlgGe6_JY_1olB1XN4rF0dxEuIIF-xsYjHgg/edit?usp=sharing"",""พรบ!AH66"")"),42000)</f>
        <v>42000</v>
      </c>
      <c r="M92" s="53">
        <v>0</v>
      </c>
      <c r="N92" s="52">
        <f t="shared" ca="1" si="22"/>
        <v>0</v>
      </c>
    </row>
    <row r="93" spans="1:14" ht="21.75" customHeight="1" x14ac:dyDescent="0.55000000000000004">
      <c r="A93" s="54"/>
      <c r="B93" s="55"/>
      <c r="C93" s="42" t="s">
        <v>17</v>
      </c>
      <c r="D93" s="56" t="s">
        <v>25</v>
      </c>
      <c r="E93" s="57"/>
      <c r="F93" s="57"/>
      <c r="G93" s="58"/>
      <c r="H93" s="59"/>
      <c r="I93" s="47"/>
      <c r="J93" s="47"/>
      <c r="K93" s="48"/>
      <c r="L93" s="60"/>
      <c r="M93" s="60"/>
      <c r="N93" s="60"/>
    </row>
    <row r="94" spans="1:14" ht="21.75" customHeight="1" x14ac:dyDescent="0.55000000000000004">
      <c r="A94" s="54"/>
      <c r="B94" s="55"/>
      <c r="C94" s="55"/>
      <c r="D94" s="61">
        <v>1</v>
      </c>
      <c r="E94" s="62" t="s">
        <v>26</v>
      </c>
      <c r="F94" s="63"/>
      <c r="G94" s="64"/>
      <c r="H94" s="65"/>
      <c r="I94" s="66"/>
      <c r="J94" s="67">
        <v>0</v>
      </c>
      <c r="K94" s="48"/>
      <c r="L94" s="60"/>
      <c r="M94" s="60"/>
      <c r="N94" s="60"/>
    </row>
    <row r="95" spans="1:14" ht="21.75" customHeight="1" x14ac:dyDescent="0.55000000000000004">
      <c r="A95" s="54"/>
      <c r="B95" s="55"/>
      <c r="C95" s="55"/>
      <c r="D95" s="68">
        <v>2</v>
      </c>
      <c r="E95" s="69" t="s">
        <v>27</v>
      </c>
      <c r="F95" s="70"/>
      <c r="G95" s="71"/>
      <c r="H95" s="65"/>
      <c r="I95" s="66"/>
      <c r="J95" s="67">
        <v>1</v>
      </c>
      <c r="K95" s="48"/>
      <c r="L95" s="60" t="s">
        <v>21</v>
      </c>
      <c r="M95" s="60" t="s">
        <v>21</v>
      </c>
      <c r="N95" s="60"/>
    </row>
    <row r="96" spans="1:14" ht="21.75" customHeight="1" x14ac:dyDescent="0.55000000000000004">
      <c r="A96" s="54"/>
      <c r="B96" s="55"/>
      <c r="C96" s="55"/>
      <c r="D96" s="72"/>
      <c r="E96" s="73" t="s">
        <v>28</v>
      </c>
      <c r="F96" s="74"/>
      <c r="G96" s="75"/>
      <c r="H96" s="65"/>
      <c r="I96" s="66"/>
      <c r="J96" s="67">
        <v>1</v>
      </c>
      <c r="K96" s="48"/>
      <c r="L96" s="60"/>
      <c r="M96" s="60"/>
      <c r="N96" s="60"/>
    </row>
    <row r="97" spans="1:14" ht="21.75" customHeight="1" x14ac:dyDescent="0.55000000000000004">
      <c r="A97" s="54"/>
      <c r="B97" s="55"/>
      <c r="C97" s="55"/>
      <c r="D97" s="72"/>
      <c r="E97" s="73" t="s">
        <v>29</v>
      </c>
      <c r="F97" s="74"/>
      <c r="G97" s="75"/>
      <c r="H97" s="65"/>
      <c r="I97" s="66"/>
      <c r="J97" s="67">
        <v>1</v>
      </c>
      <c r="K97" s="48"/>
      <c r="L97" s="60"/>
      <c r="M97" s="60"/>
      <c r="N97" s="60"/>
    </row>
    <row r="98" spans="1:14" ht="21.75" customHeight="1" x14ac:dyDescent="0.55000000000000004">
      <c r="A98" s="54"/>
      <c r="B98" s="55"/>
      <c r="C98" s="55"/>
      <c r="D98" s="72"/>
      <c r="E98" s="76"/>
      <c r="F98" s="73" t="s">
        <v>64</v>
      </c>
      <c r="G98" s="75"/>
      <c r="H98" s="59" t="s">
        <v>63</v>
      </c>
      <c r="I98" s="66">
        <f ca="1">IFERROR(__xludf.DUMMYFUNCTION("IMPORTRANGE(""https://docs.google.com/spreadsheets/d/1C3CXT74ZlgGe6_JY_1olB1XN4rF0dxEuIIF-xsYjHgg/edit?usp=sharing"",""พรบ!AI66"")"),3)</f>
        <v>3</v>
      </c>
      <c r="J98" s="67">
        <v>0</v>
      </c>
      <c r="K98" s="48">
        <f ca="1">IF(I98&gt;0,J98*100/I98,0)</f>
        <v>0</v>
      </c>
      <c r="L98" s="52">
        <f ca="1">IFERROR(__xludf.DUMMYFUNCTION("IMPORTRANGE(""https://docs.google.com/spreadsheets/d/1C3CXT74ZlgGe6_JY_1olB1XN4rF0dxEuIIF-xsYjHgg/edit?usp=sharing"",""กปร!C66"")"),36000)</f>
        <v>36000</v>
      </c>
      <c r="M98" s="361">
        <v>0</v>
      </c>
      <c r="N98" s="52">
        <f ca="1">+IF(L98&gt;0,M98*100/L98,0)</f>
        <v>0</v>
      </c>
    </row>
    <row r="99" spans="1:14" ht="21.75" customHeight="1" x14ac:dyDescent="0.55000000000000004">
      <c r="A99" s="54"/>
      <c r="B99" s="55"/>
      <c r="C99" s="55"/>
      <c r="D99" s="72"/>
      <c r="E99" s="73" t="s">
        <v>35</v>
      </c>
      <c r="F99" s="74"/>
      <c r="G99" s="75"/>
      <c r="H99" s="65"/>
      <c r="I99" s="66"/>
      <c r="J99" s="67">
        <v>0</v>
      </c>
      <c r="K99" s="48"/>
      <c r="L99" s="60"/>
      <c r="M99" s="60"/>
      <c r="N99" s="60"/>
    </row>
    <row r="100" spans="1:14" ht="21.75" customHeight="1" x14ac:dyDescent="0.55000000000000004">
      <c r="A100" s="54"/>
      <c r="B100" s="55"/>
      <c r="C100" s="55"/>
      <c r="D100" s="80">
        <v>3</v>
      </c>
      <c r="E100" s="81" t="s">
        <v>36</v>
      </c>
      <c r="F100" s="82"/>
      <c r="G100" s="83"/>
      <c r="H100" s="65"/>
      <c r="I100" s="66"/>
      <c r="J100" s="84">
        <v>0</v>
      </c>
      <c r="K100" s="48"/>
      <c r="L100" s="60"/>
      <c r="M100" s="60"/>
      <c r="N100" s="60"/>
    </row>
    <row r="101" spans="1:14" ht="21.75" customHeight="1" x14ac:dyDescent="0.55000000000000004">
      <c r="A101" s="140"/>
      <c r="B101" s="141"/>
      <c r="C101" s="142" t="s">
        <v>65</v>
      </c>
      <c r="D101" s="142"/>
      <c r="E101" s="142"/>
      <c r="F101" s="142"/>
      <c r="G101" s="143"/>
      <c r="H101" s="148" t="s">
        <v>63</v>
      </c>
      <c r="I101" s="149">
        <f t="shared" ref="I101:J101" ca="1" si="24">I111</f>
        <v>0</v>
      </c>
      <c r="J101" s="149">
        <f t="shared" si="24"/>
        <v>0</v>
      </c>
      <c r="K101" s="150">
        <f ca="1">IF(I101&gt;0,J101*100/I101,0)</f>
        <v>0</v>
      </c>
      <c r="L101" s="147">
        <f ca="1">L102+L103</f>
        <v>0</v>
      </c>
      <c r="M101" s="147">
        <f>SUM(M102:M103)</f>
        <v>0</v>
      </c>
      <c r="N101" s="147">
        <f t="shared" ref="N101:N104" ca="1" si="25">+IF(L101&gt;0,M101*100/L101,0)</f>
        <v>0</v>
      </c>
    </row>
    <row r="102" spans="1:14" ht="21.75" customHeight="1" x14ac:dyDescent="0.55000000000000004">
      <c r="A102" s="41"/>
      <c r="B102" s="42"/>
      <c r="C102" s="42" t="s">
        <v>17</v>
      </c>
      <c r="D102" s="43" t="s">
        <v>18</v>
      </c>
      <c r="E102" s="44"/>
      <c r="F102" s="44"/>
      <c r="G102" s="45" t="s">
        <v>19</v>
      </c>
      <c r="H102" s="46" t="s">
        <v>20</v>
      </c>
      <c r="I102" s="47" t="s">
        <v>21</v>
      </c>
      <c r="J102" s="47"/>
      <c r="K102" s="48"/>
      <c r="L102" s="49">
        <v>0</v>
      </c>
      <c r="M102" s="49">
        <v>0</v>
      </c>
      <c r="N102" s="49">
        <f t="shared" si="25"/>
        <v>0</v>
      </c>
    </row>
    <row r="103" spans="1:14" ht="21.75" customHeight="1" x14ac:dyDescent="0.55000000000000004">
      <c r="A103" s="41"/>
      <c r="B103" s="42"/>
      <c r="C103" s="42"/>
      <c r="D103" s="50"/>
      <c r="E103" s="44"/>
      <c r="F103" s="44" t="s">
        <v>21</v>
      </c>
      <c r="G103" s="45" t="s">
        <v>22</v>
      </c>
      <c r="H103" s="46" t="s">
        <v>20</v>
      </c>
      <c r="I103" s="47"/>
      <c r="J103" s="47"/>
      <c r="K103" s="48"/>
      <c r="L103" s="49">
        <f ca="1">SUM(L104)</f>
        <v>0</v>
      </c>
      <c r="M103" s="49">
        <f>M104</f>
        <v>0</v>
      </c>
      <c r="N103" s="49">
        <f t="shared" ca="1" si="25"/>
        <v>0</v>
      </c>
    </row>
    <row r="104" spans="1:14" ht="21.75" customHeight="1" x14ac:dyDescent="0.55000000000000004">
      <c r="A104" s="41"/>
      <c r="B104" s="42"/>
      <c r="C104" s="42"/>
      <c r="D104" s="50"/>
      <c r="E104" s="44"/>
      <c r="F104" s="44"/>
      <c r="G104" s="51" t="s">
        <v>24</v>
      </c>
      <c r="H104" s="46" t="s">
        <v>20</v>
      </c>
      <c r="I104" s="47"/>
      <c r="J104" s="66"/>
      <c r="K104" s="232"/>
      <c r="L104" s="52">
        <f ca="1">IFERROR(__xludf.DUMMYFUNCTION("IMPORTRANGE(""https://docs.google.com/spreadsheets/d/1C3CXT74ZlgGe6_JY_1olB1XN4rF0dxEuIIF-xsYjHgg/edit?usp=sharing"",""พรบ!AJ66"")"),0)</f>
        <v>0</v>
      </c>
      <c r="M104" s="52">
        <v>0</v>
      </c>
      <c r="N104" s="52">
        <f t="shared" ca="1" si="25"/>
        <v>0</v>
      </c>
    </row>
    <row r="105" spans="1:14" ht="21.75" customHeight="1" x14ac:dyDescent="0.55000000000000004">
      <c r="A105" s="54"/>
      <c r="B105" s="55"/>
      <c r="C105" s="42" t="s">
        <v>17</v>
      </c>
      <c r="D105" s="56" t="s">
        <v>25</v>
      </c>
      <c r="E105" s="57"/>
      <c r="F105" s="57"/>
      <c r="G105" s="58"/>
      <c r="H105" s="59"/>
      <c r="I105" s="47"/>
      <c r="J105" s="66"/>
      <c r="K105" s="232"/>
      <c r="L105" s="52"/>
      <c r="M105" s="52"/>
      <c r="N105" s="60"/>
    </row>
    <row r="106" spans="1:14" ht="21.75" customHeight="1" x14ac:dyDescent="0.55000000000000004">
      <c r="A106" s="54"/>
      <c r="B106" s="55"/>
      <c r="C106" s="55"/>
      <c r="D106" s="61">
        <v>1</v>
      </c>
      <c r="E106" s="62" t="s">
        <v>26</v>
      </c>
      <c r="F106" s="63"/>
      <c r="G106" s="64"/>
      <c r="H106" s="65"/>
      <c r="I106" s="66"/>
      <c r="J106" s="66">
        <v>0</v>
      </c>
      <c r="K106" s="232"/>
      <c r="L106" s="52"/>
      <c r="M106" s="52"/>
      <c r="N106" s="60"/>
    </row>
    <row r="107" spans="1:14" ht="21.75" customHeight="1" x14ac:dyDescent="0.55000000000000004">
      <c r="A107" s="54"/>
      <c r="B107" s="55"/>
      <c r="C107" s="55"/>
      <c r="D107" s="68">
        <v>2</v>
      </c>
      <c r="E107" s="69" t="s">
        <v>27</v>
      </c>
      <c r="F107" s="70"/>
      <c r="G107" s="71"/>
      <c r="H107" s="65"/>
      <c r="I107" s="66"/>
      <c r="J107" s="66">
        <v>0</v>
      </c>
      <c r="K107" s="232"/>
      <c r="L107" s="52" t="s">
        <v>21</v>
      </c>
      <c r="M107" s="52" t="s">
        <v>21</v>
      </c>
      <c r="N107" s="60"/>
    </row>
    <row r="108" spans="1:14" ht="21.75" customHeight="1" x14ac:dyDescent="0.55000000000000004">
      <c r="A108" s="54"/>
      <c r="B108" s="55"/>
      <c r="C108" s="55"/>
      <c r="D108" s="72"/>
      <c r="E108" s="73" t="s">
        <v>28</v>
      </c>
      <c r="F108" s="74"/>
      <c r="G108" s="75"/>
      <c r="H108" s="65"/>
      <c r="I108" s="66"/>
      <c r="J108" s="66">
        <v>0</v>
      </c>
      <c r="K108" s="232"/>
      <c r="L108" s="52"/>
      <c r="M108" s="52"/>
      <c r="N108" s="60"/>
    </row>
    <row r="109" spans="1:14" ht="21.75" customHeight="1" x14ac:dyDescent="0.55000000000000004">
      <c r="A109" s="54"/>
      <c r="B109" s="55"/>
      <c r="C109" s="55"/>
      <c r="D109" s="72"/>
      <c r="E109" s="73" t="s">
        <v>29</v>
      </c>
      <c r="F109" s="74"/>
      <c r="G109" s="75"/>
      <c r="H109" s="65"/>
      <c r="I109" s="66"/>
      <c r="J109" s="66">
        <v>0</v>
      </c>
      <c r="K109" s="232"/>
      <c r="L109" s="52"/>
      <c r="M109" s="52"/>
      <c r="N109" s="60"/>
    </row>
    <row r="110" spans="1:14" ht="21.75" customHeight="1" x14ac:dyDescent="0.55000000000000004">
      <c r="A110" s="54"/>
      <c r="B110" s="55"/>
      <c r="C110" s="55"/>
      <c r="D110" s="72"/>
      <c r="E110" s="76"/>
      <c r="F110" s="73" t="s">
        <v>66</v>
      </c>
      <c r="G110" s="75"/>
      <c r="H110" s="59" t="s">
        <v>63</v>
      </c>
      <c r="I110" s="66">
        <f ca="1">IFERROR(__xludf.DUMMYFUNCTION("IMPORTRANGE(""https://docs.google.com/spreadsheets/d/1C3CXT74ZlgGe6_JY_1olB1XN4rF0dxEuIIF-xsYjHgg/edit?usp=sharing"",""พรบ!AK66"")"),0)</f>
        <v>0</v>
      </c>
      <c r="J110" s="66">
        <v>0</v>
      </c>
      <c r="K110" s="232">
        <f t="shared" ref="K110:K111" ca="1" si="26">IF(I110&gt;0,J110*100/I110,0)</f>
        <v>0</v>
      </c>
      <c r="L110" s="52">
        <f ca="1">IFERROR(__xludf.DUMMYFUNCTION("IMPORTRANGE(""https://docs.google.com/spreadsheets/d/1C3CXT74ZlgGe6_JY_1olB1XN4rF0dxEuIIF-xsYjHgg/edit?usp=sharing"",""กปร!D66"")"),0)</f>
        <v>0</v>
      </c>
      <c r="M110" s="52">
        <v>0</v>
      </c>
      <c r="N110" s="52">
        <f t="shared" ref="N110:N111" ca="1" si="27">+IF(L110&gt;0,M110*100/L110,0)</f>
        <v>0</v>
      </c>
    </row>
    <row r="111" spans="1:14" ht="21.75" customHeight="1" x14ac:dyDescent="0.55000000000000004">
      <c r="A111" s="54"/>
      <c r="B111" s="55"/>
      <c r="C111" s="55"/>
      <c r="D111" s="72"/>
      <c r="E111" s="76"/>
      <c r="F111" s="73" t="s">
        <v>67</v>
      </c>
      <c r="G111" s="75"/>
      <c r="H111" s="59" t="s">
        <v>63</v>
      </c>
      <c r="I111" s="66">
        <f ca="1">IFERROR(__xludf.DUMMYFUNCTION("IMPORTRANGE(""https://docs.google.com/spreadsheets/d/1C3CXT74ZlgGe6_JY_1olB1XN4rF0dxEuIIF-xsYjHgg/edit?usp=sharing"",""พรบ!AL66"")"),0)</f>
        <v>0</v>
      </c>
      <c r="J111" s="66">
        <v>0</v>
      </c>
      <c r="K111" s="232">
        <f t="shared" ca="1" si="26"/>
        <v>0</v>
      </c>
      <c r="L111" s="52">
        <f ca="1">IFERROR(__xludf.DUMMYFUNCTION("IMPORTRANGE(""https://docs.google.com/spreadsheets/d/1C3CXT74ZlgGe6_JY_1olB1XN4rF0dxEuIIF-xsYjHgg/edit?usp=sharing"",""กปร!E66"")"),0)</f>
        <v>0</v>
      </c>
      <c r="M111" s="52">
        <v>0</v>
      </c>
      <c r="N111" s="52">
        <f t="shared" ca="1" si="27"/>
        <v>0</v>
      </c>
    </row>
    <row r="112" spans="1:14" ht="21.75" customHeight="1" x14ac:dyDescent="0.55000000000000004">
      <c r="A112" s="54"/>
      <c r="B112" s="55"/>
      <c r="C112" s="55"/>
      <c r="D112" s="72"/>
      <c r="E112" s="73" t="s">
        <v>35</v>
      </c>
      <c r="F112" s="74"/>
      <c r="G112" s="75"/>
      <c r="H112" s="65"/>
      <c r="I112" s="66"/>
      <c r="J112" s="66">
        <v>0</v>
      </c>
      <c r="K112" s="232"/>
      <c r="L112" s="52"/>
      <c r="M112" s="52"/>
      <c r="N112" s="60"/>
    </row>
    <row r="113" spans="1:14" ht="21.75" customHeight="1" x14ac:dyDescent="0.55000000000000004">
      <c r="A113" s="54"/>
      <c r="B113" s="55"/>
      <c r="C113" s="55"/>
      <c r="D113" s="80">
        <v>3</v>
      </c>
      <c r="E113" s="81" t="s">
        <v>36</v>
      </c>
      <c r="F113" s="82"/>
      <c r="G113" s="83"/>
      <c r="H113" s="65"/>
      <c r="I113" s="66"/>
      <c r="J113" s="356">
        <v>0</v>
      </c>
      <c r="K113" s="232"/>
      <c r="L113" s="52"/>
      <c r="M113" s="52"/>
      <c r="N113" s="60"/>
    </row>
    <row r="114" spans="1:14" ht="21.75" customHeight="1" x14ac:dyDescent="0.55000000000000004">
      <c r="A114" s="140"/>
      <c r="B114" s="141"/>
      <c r="C114" s="142" t="s">
        <v>68</v>
      </c>
      <c r="D114" s="142"/>
      <c r="E114" s="142"/>
      <c r="F114" s="142"/>
      <c r="G114" s="143"/>
      <c r="H114" s="151" t="s">
        <v>69</v>
      </c>
      <c r="I114" s="149">
        <f t="shared" ref="I114:J114" ca="1" si="28">I125</f>
        <v>5000</v>
      </c>
      <c r="J114" s="149">
        <f t="shared" si="28"/>
        <v>0</v>
      </c>
      <c r="K114" s="150">
        <f ca="1">IF(I114&gt;0,J114*100/I114,0)</f>
        <v>0</v>
      </c>
      <c r="L114" s="147">
        <f ca="1">L115+L116</f>
        <v>6900</v>
      </c>
      <c r="M114" s="147">
        <f>SUM(M115:M116)</f>
        <v>0</v>
      </c>
      <c r="N114" s="147">
        <f t="shared" ref="N114:N117" ca="1" si="29">+IF(L114&gt;0,M114*100/L114,0)</f>
        <v>0</v>
      </c>
    </row>
    <row r="115" spans="1:14" ht="21.75" customHeight="1" x14ac:dyDescent="0.55000000000000004">
      <c r="A115" s="41"/>
      <c r="B115" s="42"/>
      <c r="C115" s="42" t="s">
        <v>17</v>
      </c>
      <c r="D115" s="43" t="s">
        <v>18</v>
      </c>
      <c r="E115" s="44"/>
      <c r="F115" s="44"/>
      <c r="G115" s="45" t="s">
        <v>19</v>
      </c>
      <c r="H115" s="46" t="s">
        <v>20</v>
      </c>
      <c r="I115" s="47" t="s">
        <v>21</v>
      </c>
      <c r="J115" s="47"/>
      <c r="K115" s="48"/>
      <c r="L115" s="49">
        <v>0</v>
      </c>
      <c r="M115" s="49">
        <v>0</v>
      </c>
      <c r="N115" s="49">
        <f t="shared" si="29"/>
        <v>0</v>
      </c>
    </row>
    <row r="116" spans="1:14" ht="21.75" customHeight="1" x14ac:dyDescent="0.55000000000000004">
      <c r="A116" s="41"/>
      <c r="B116" s="42"/>
      <c r="C116" s="42"/>
      <c r="D116" s="50"/>
      <c r="E116" s="44"/>
      <c r="F116" s="44" t="s">
        <v>21</v>
      </c>
      <c r="G116" s="45" t="s">
        <v>22</v>
      </c>
      <c r="H116" s="46" t="s">
        <v>20</v>
      </c>
      <c r="I116" s="47"/>
      <c r="J116" s="47"/>
      <c r="K116" s="48"/>
      <c r="L116" s="49">
        <f ca="1">SUM(L117)</f>
        <v>6900</v>
      </c>
      <c r="M116" s="49">
        <f>M117</f>
        <v>0</v>
      </c>
      <c r="N116" s="49">
        <f t="shared" ca="1" si="29"/>
        <v>0</v>
      </c>
    </row>
    <row r="117" spans="1:14" ht="21.75" customHeight="1" x14ac:dyDescent="0.55000000000000004">
      <c r="A117" s="41"/>
      <c r="B117" s="42"/>
      <c r="C117" s="42"/>
      <c r="D117" s="50"/>
      <c r="E117" s="44"/>
      <c r="F117" s="44"/>
      <c r="G117" s="51" t="s">
        <v>24</v>
      </c>
      <c r="H117" s="46" t="s">
        <v>20</v>
      </c>
      <c r="I117" s="47"/>
      <c r="J117" s="47"/>
      <c r="K117" s="48"/>
      <c r="L117" s="52">
        <f ca="1">IFERROR(__xludf.DUMMYFUNCTION("IMPORTRANGE(""https://docs.google.com/spreadsheets/d/1C3CXT74ZlgGe6_JY_1olB1XN4rF0dxEuIIF-xsYjHgg/edit?usp=sharing"",""พรบ!AM66"")"),6900)</f>
        <v>6900</v>
      </c>
      <c r="M117" s="53">
        <v>0</v>
      </c>
      <c r="N117" s="52">
        <f t="shared" ca="1" si="29"/>
        <v>0</v>
      </c>
    </row>
    <row r="118" spans="1:14" ht="21.75" customHeight="1" x14ac:dyDescent="0.55000000000000004">
      <c r="A118" s="54"/>
      <c r="B118" s="55"/>
      <c r="C118" s="42" t="s">
        <v>17</v>
      </c>
      <c r="D118" s="56" t="s">
        <v>25</v>
      </c>
      <c r="E118" s="57"/>
      <c r="F118" s="57"/>
      <c r="G118" s="58"/>
      <c r="H118" s="59"/>
      <c r="I118" s="47"/>
      <c r="J118" s="47"/>
      <c r="K118" s="48"/>
      <c r="L118" s="60"/>
      <c r="M118" s="60"/>
      <c r="N118" s="60"/>
    </row>
    <row r="119" spans="1:14" ht="21.75" customHeight="1" x14ac:dyDescent="0.55000000000000004">
      <c r="A119" s="54"/>
      <c r="B119" s="55"/>
      <c r="C119" s="55"/>
      <c r="D119" s="61">
        <v>1</v>
      </c>
      <c r="E119" s="62" t="s">
        <v>26</v>
      </c>
      <c r="F119" s="63"/>
      <c r="G119" s="64"/>
      <c r="H119" s="65"/>
      <c r="I119" s="66"/>
      <c r="J119" s="67">
        <v>0</v>
      </c>
      <c r="K119" s="48"/>
      <c r="L119" s="60"/>
      <c r="M119" s="60"/>
      <c r="N119" s="60"/>
    </row>
    <row r="120" spans="1:14" ht="21.75" customHeight="1" x14ac:dyDescent="0.55000000000000004">
      <c r="A120" s="54"/>
      <c r="B120" s="55"/>
      <c r="C120" s="55"/>
      <c r="D120" s="68">
        <v>2</v>
      </c>
      <c r="E120" s="69" t="s">
        <v>27</v>
      </c>
      <c r="F120" s="70"/>
      <c r="G120" s="71"/>
      <c r="H120" s="65"/>
      <c r="I120" s="66"/>
      <c r="J120" s="67">
        <v>1</v>
      </c>
      <c r="K120" s="48"/>
      <c r="L120" s="60" t="s">
        <v>21</v>
      </c>
      <c r="M120" s="60" t="s">
        <v>21</v>
      </c>
      <c r="N120" s="60"/>
    </row>
    <row r="121" spans="1:14" ht="21.75" customHeight="1" x14ac:dyDescent="0.55000000000000004">
      <c r="A121" s="54"/>
      <c r="B121" s="55"/>
      <c r="C121" s="55"/>
      <c r="D121" s="72"/>
      <c r="E121" s="73" t="s">
        <v>28</v>
      </c>
      <c r="F121" s="74"/>
      <c r="G121" s="75"/>
      <c r="H121" s="65"/>
      <c r="I121" s="66"/>
      <c r="J121" s="67">
        <v>1</v>
      </c>
      <c r="K121" s="48"/>
      <c r="L121" s="60"/>
      <c r="M121" s="60"/>
      <c r="N121" s="60"/>
    </row>
    <row r="122" spans="1:14" ht="21.75" customHeight="1" x14ac:dyDescent="0.55000000000000004">
      <c r="A122" s="54"/>
      <c r="B122" s="55"/>
      <c r="C122" s="55"/>
      <c r="D122" s="72"/>
      <c r="E122" s="73" t="s">
        <v>29</v>
      </c>
      <c r="F122" s="74"/>
      <c r="G122" s="75"/>
      <c r="H122" s="65"/>
      <c r="I122" s="66"/>
      <c r="J122" s="67">
        <v>1</v>
      </c>
      <c r="K122" s="48"/>
      <c r="L122" s="60"/>
      <c r="M122" s="60"/>
      <c r="N122" s="60"/>
    </row>
    <row r="123" spans="1:14" ht="21.75" customHeight="1" x14ac:dyDescent="0.55000000000000004">
      <c r="A123" s="54"/>
      <c r="B123" s="55"/>
      <c r="C123" s="55"/>
      <c r="D123" s="72"/>
      <c r="E123" s="74"/>
      <c r="F123" s="74" t="s">
        <v>70</v>
      </c>
      <c r="G123" s="75"/>
      <c r="H123" s="59"/>
      <c r="I123" s="66"/>
      <c r="J123" s="66"/>
      <c r="K123" s="48"/>
      <c r="L123" s="60"/>
      <c r="M123" s="60"/>
      <c r="N123" s="60"/>
    </row>
    <row r="124" spans="1:14" ht="21.75" customHeight="1" x14ac:dyDescent="0.55000000000000004">
      <c r="A124" s="54"/>
      <c r="B124" s="55"/>
      <c r="C124" s="55"/>
      <c r="D124" s="72"/>
      <c r="E124" s="76"/>
      <c r="F124" s="74"/>
      <c r="G124" s="73" t="s">
        <v>71</v>
      </c>
      <c r="H124" s="59" t="s">
        <v>69</v>
      </c>
      <c r="I124" s="66">
        <f ca="1">IFERROR(__xludf.DUMMYFUNCTION("IMPORTRANGE(""https://docs.google.com/spreadsheets/d/1C3CXT74ZlgGe6_JY_1olB1XN4rF0dxEuIIF-xsYjHgg/edit?usp=sharing"",""พรบ!AO66"")"),5000)</f>
        <v>5000</v>
      </c>
      <c r="J124" s="67">
        <v>0</v>
      </c>
      <c r="K124" s="48">
        <f t="shared" ref="K124:K126" ca="1" si="30">IF(I124&gt;0,J124*100/I124,0)</f>
        <v>0</v>
      </c>
      <c r="L124" s="60"/>
      <c r="M124" s="60"/>
      <c r="N124" s="60"/>
    </row>
    <row r="125" spans="1:14" ht="21.75" customHeight="1" x14ac:dyDescent="0.55000000000000004">
      <c r="A125" s="54"/>
      <c r="B125" s="55"/>
      <c r="C125" s="55"/>
      <c r="D125" s="72"/>
      <c r="E125" s="76"/>
      <c r="F125" s="74"/>
      <c r="G125" s="73" t="s">
        <v>72</v>
      </c>
      <c r="H125" s="59" t="s">
        <v>69</v>
      </c>
      <c r="I125" s="66">
        <f ca="1">IFERROR(__xludf.DUMMYFUNCTION("IMPORTRANGE(""https://docs.google.com/spreadsheets/d/1C3CXT74ZlgGe6_JY_1olB1XN4rF0dxEuIIF-xsYjHgg/edit?usp=sharing"",""พรบ!AP66"")"),5000)</f>
        <v>5000</v>
      </c>
      <c r="J125" s="67">
        <v>0</v>
      </c>
      <c r="K125" s="48">
        <f t="shared" ca="1" si="30"/>
        <v>0</v>
      </c>
      <c r="L125" s="52">
        <f ca="1">IFERROR(__xludf.DUMMYFUNCTION("IMPORTRANGE(""https://docs.google.com/spreadsheets/d/1C3CXT74ZlgGe6_JY_1olB1XN4rF0dxEuIIF-xsYjHgg/edit?usp=sharing"",""กปร!F66"")"),2900)</f>
        <v>2900</v>
      </c>
      <c r="M125" s="361">
        <v>0</v>
      </c>
      <c r="N125" s="52">
        <f t="shared" ref="N125:N126" ca="1" si="31">+IF(L125&gt;0,M125*100/L125,0)</f>
        <v>0</v>
      </c>
    </row>
    <row r="126" spans="1:14" ht="21.75" customHeight="1" x14ac:dyDescent="0.55000000000000004">
      <c r="A126" s="54"/>
      <c r="B126" s="55"/>
      <c r="C126" s="55"/>
      <c r="D126" s="72"/>
      <c r="E126" s="76"/>
      <c r="F126" s="74" t="s">
        <v>73</v>
      </c>
      <c r="G126" s="75"/>
      <c r="H126" s="59" t="s">
        <v>16</v>
      </c>
      <c r="I126" s="66">
        <f ca="1">IFERROR(__xludf.DUMMYFUNCTION("IMPORTRANGE(""https://docs.google.com/spreadsheets/d/1C3CXT74ZlgGe6_JY_1olB1XN4rF0dxEuIIF-xsYjHgg/edit?usp=sharing"",""พรบ!AQ66"")"),0)</f>
        <v>0</v>
      </c>
      <c r="J126" s="66">
        <v>0</v>
      </c>
      <c r="K126" s="48">
        <f t="shared" ca="1" si="30"/>
        <v>0</v>
      </c>
      <c r="L126" s="52">
        <f ca="1">IFERROR(__xludf.DUMMYFUNCTION("IMPORTRANGE(""https://docs.google.com/spreadsheets/d/1C3CXT74ZlgGe6_JY_1olB1XN4rF0dxEuIIF-xsYjHgg/edit?usp=sharing"",""กปร!G66"")"),0)</f>
        <v>0</v>
      </c>
      <c r="M126" s="52">
        <v>0</v>
      </c>
      <c r="N126" s="52">
        <f t="shared" ca="1" si="31"/>
        <v>0</v>
      </c>
    </row>
    <row r="127" spans="1:14" ht="21.75" customHeight="1" x14ac:dyDescent="0.55000000000000004">
      <c r="A127" s="54"/>
      <c r="B127" s="55"/>
      <c r="C127" s="55"/>
      <c r="D127" s="72"/>
      <c r="E127" s="73" t="s">
        <v>35</v>
      </c>
      <c r="F127" s="74"/>
      <c r="G127" s="75"/>
      <c r="H127" s="65"/>
      <c r="I127" s="66"/>
      <c r="J127" s="67">
        <v>0</v>
      </c>
      <c r="K127" s="48"/>
      <c r="L127" s="60"/>
      <c r="M127" s="60"/>
      <c r="N127" s="60"/>
    </row>
    <row r="128" spans="1:14" ht="21.75" customHeight="1" x14ac:dyDescent="0.55000000000000004">
      <c r="A128" s="104"/>
      <c r="B128" s="105"/>
      <c r="C128" s="105"/>
      <c r="D128" s="106">
        <v>3</v>
      </c>
      <c r="E128" s="107" t="s">
        <v>36</v>
      </c>
      <c r="F128" s="108"/>
      <c r="G128" s="109"/>
      <c r="H128" s="110"/>
      <c r="I128" s="111"/>
      <c r="J128" s="112">
        <v>0</v>
      </c>
      <c r="K128" s="113"/>
      <c r="L128" s="114"/>
      <c r="M128" s="114"/>
      <c r="N128" s="114"/>
    </row>
    <row r="129" spans="1:14" ht="21.75" customHeight="1" x14ac:dyDescent="0.55000000000000004">
      <c r="A129" s="140"/>
      <c r="B129" s="141"/>
      <c r="C129" s="152" t="s">
        <v>229</v>
      </c>
      <c r="D129" s="142"/>
      <c r="E129" s="142"/>
      <c r="F129" s="142"/>
      <c r="G129" s="143"/>
      <c r="H129" s="151" t="s">
        <v>16</v>
      </c>
      <c r="I129" s="149">
        <f t="shared" ref="I129:J129" ca="1" si="32">I138</f>
        <v>20</v>
      </c>
      <c r="J129" s="149">
        <f t="shared" si="32"/>
        <v>0</v>
      </c>
      <c r="K129" s="150">
        <f ca="1">IF(I129&gt;0,J129*100/I129,0)</f>
        <v>0</v>
      </c>
      <c r="L129" s="147">
        <f ca="1">L130+L131</f>
        <v>200800</v>
      </c>
      <c r="M129" s="147">
        <f>SUM(M130:M131)</f>
        <v>0</v>
      </c>
      <c r="N129" s="147">
        <f t="shared" ref="N129:N132" ca="1" si="33">+IF(L129&gt;0,M129*100/L129,0)</f>
        <v>0</v>
      </c>
    </row>
    <row r="130" spans="1:14" ht="21.75" customHeight="1" x14ac:dyDescent="0.55000000000000004">
      <c r="A130" s="41"/>
      <c r="B130" s="42"/>
      <c r="C130" s="42" t="s">
        <v>17</v>
      </c>
      <c r="D130" s="43" t="s">
        <v>18</v>
      </c>
      <c r="E130" s="44"/>
      <c r="F130" s="44"/>
      <c r="G130" s="45" t="s">
        <v>19</v>
      </c>
      <c r="H130" s="46" t="s">
        <v>20</v>
      </c>
      <c r="I130" s="47" t="s">
        <v>21</v>
      </c>
      <c r="J130" s="47"/>
      <c r="K130" s="48"/>
      <c r="L130" s="49">
        <v>0</v>
      </c>
      <c r="M130" s="49">
        <v>0</v>
      </c>
      <c r="N130" s="49">
        <f t="shared" si="33"/>
        <v>0</v>
      </c>
    </row>
    <row r="131" spans="1:14" ht="21.75" customHeight="1" x14ac:dyDescent="0.55000000000000004">
      <c r="A131" s="41"/>
      <c r="B131" s="42"/>
      <c r="C131" s="42"/>
      <c r="D131" s="50"/>
      <c r="E131" s="44"/>
      <c r="F131" s="44" t="s">
        <v>21</v>
      </c>
      <c r="G131" s="45" t="s">
        <v>22</v>
      </c>
      <c r="H131" s="46" t="s">
        <v>20</v>
      </c>
      <c r="I131" s="47"/>
      <c r="J131" s="47"/>
      <c r="K131" s="48"/>
      <c r="L131" s="49">
        <f ca="1">SUM(L132)</f>
        <v>200800</v>
      </c>
      <c r="M131" s="49">
        <f>M132</f>
        <v>0</v>
      </c>
      <c r="N131" s="49">
        <f t="shared" ca="1" si="33"/>
        <v>0</v>
      </c>
    </row>
    <row r="132" spans="1:14" ht="21.75" customHeight="1" x14ac:dyDescent="0.55000000000000004">
      <c r="A132" s="41"/>
      <c r="B132" s="42"/>
      <c r="C132" s="42"/>
      <c r="D132" s="50"/>
      <c r="E132" s="44"/>
      <c r="F132" s="44"/>
      <c r="G132" s="51" t="s">
        <v>24</v>
      </c>
      <c r="H132" s="46" t="s">
        <v>20</v>
      </c>
      <c r="I132" s="47"/>
      <c r="J132" s="47"/>
      <c r="K132" s="48"/>
      <c r="L132" s="52">
        <f ca="1">IFERROR(__xludf.DUMMYFUNCTION("IMPORTRANGE(""https://docs.google.com/spreadsheets/d/1C3CXT74ZlgGe6_JY_1olB1XN4rF0dxEuIIF-xsYjHgg/edit?usp=sharing"",""พรบ!AR66"")"),200800)</f>
        <v>200800</v>
      </c>
      <c r="M132" s="53">
        <v>0</v>
      </c>
      <c r="N132" s="52">
        <f t="shared" ca="1" si="33"/>
        <v>0</v>
      </c>
    </row>
    <row r="133" spans="1:14" ht="21.75" customHeight="1" x14ac:dyDescent="0.55000000000000004">
      <c r="A133" s="54"/>
      <c r="B133" s="55"/>
      <c r="C133" s="42" t="s">
        <v>17</v>
      </c>
      <c r="D133" s="56" t="s">
        <v>25</v>
      </c>
      <c r="E133" s="57"/>
      <c r="F133" s="57"/>
      <c r="G133" s="58"/>
      <c r="H133" s="59"/>
      <c r="I133" s="47"/>
      <c r="J133" s="47"/>
      <c r="K133" s="48"/>
      <c r="L133" s="60"/>
      <c r="M133" s="60"/>
      <c r="N133" s="60"/>
    </row>
    <row r="134" spans="1:14" ht="21.75" customHeight="1" x14ac:dyDescent="0.55000000000000004">
      <c r="A134" s="54"/>
      <c r="B134" s="55"/>
      <c r="C134" s="55"/>
      <c r="D134" s="61">
        <v>1</v>
      </c>
      <c r="E134" s="62" t="s">
        <v>26</v>
      </c>
      <c r="F134" s="63"/>
      <c r="G134" s="64"/>
      <c r="H134" s="65"/>
      <c r="I134" s="66"/>
      <c r="J134" s="67">
        <v>0</v>
      </c>
      <c r="K134" s="48"/>
      <c r="L134" s="60"/>
      <c r="M134" s="60"/>
      <c r="N134" s="60"/>
    </row>
    <row r="135" spans="1:14" ht="21.75" customHeight="1" x14ac:dyDescent="0.55000000000000004">
      <c r="A135" s="54"/>
      <c r="B135" s="55"/>
      <c r="C135" s="55"/>
      <c r="D135" s="68">
        <v>2</v>
      </c>
      <c r="E135" s="69" t="s">
        <v>27</v>
      </c>
      <c r="F135" s="70"/>
      <c r="G135" s="71"/>
      <c r="H135" s="65"/>
      <c r="I135" s="66"/>
      <c r="J135" s="67">
        <v>1</v>
      </c>
      <c r="K135" s="48"/>
      <c r="L135" s="60" t="s">
        <v>21</v>
      </c>
      <c r="M135" s="60" t="s">
        <v>21</v>
      </c>
      <c r="N135" s="60"/>
    </row>
    <row r="136" spans="1:14" ht="21.75" customHeight="1" x14ac:dyDescent="0.55000000000000004">
      <c r="A136" s="54"/>
      <c r="B136" s="55"/>
      <c r="C136" s="55"/>
      <c r="D136" s="72"/>
      <c r="E136" s="73" t="s">
        <v>28</v>
      </c>
      <c r="F136" s="74"/>
      <c r="G136" s="75"/>
      <c r="H136" s="65"/>
      <c r="I136" s="66"/>
      <c r="J136" s="67">
        <v>1</v>
      </c>
      <c r="K136" s="48"/>
      <c r="L136" s="60"/>
      <c r="M136" s="60"/>
      <c r="N136" s="60"/>
    </row>
    <row r="137" spans="1:14" ht="21.75" customHeight="1" x14ac:dyDescent="0.55000000000000004">
      <c r="A137" s="54"/>
      <c r="B137" s="55"/>
      <c r="C137" s="55"/>
      <c r="D137" s="72"/>
      <c r="E137" s="73" t="s">
        <v>29</v>
      </c>
      <c r="F137" s="74"/>
      <c r="G137" s="75"/>
      <c r="H137" s="65"/>
      <c r="I137" s="66"/>
      <c r="J137" s="67">
        <v>1</v>
      </c>
      <c r="K137" s="48"/>
      <c r="L137" s="60"/>
      <c r="M137" s="60"/>
      <c r="N137" s="60"/>
    </row>
    <row r="138" spans="1:14" ht="21.75" customHeight="1" x14ac:dyDescent="0.55000000000000004">
      <c r="A138" s="54"/>
      <c r="B138" s="55"/>
      <c r="C138" s="55"/>
      <c r="D138" s="72"/>
      <c r="E138" s="76"/>
      <c r="F138" s="74" t="s">
        <v>75</v>
      </c>
      <c r="G138" s="75"/>
      <c r="H138" s="59" t="s">
        <v>16</v>
      </c>
      <c r="I138" s="66">
        <f ca="1">IFERROR(__xludf.DUMMYFUNCTION("IMPORTRANGE(""https://docs.google.com/spreadsheets/d/1C3CXT74ZlgGe6_JY_1olB1XN4rF0dxEuIIF-xsYjHgg/edit?usp=sharing"",""พรบ!AS66"")"),20)</f>
        <v>20</v>
      </c>
      <c r="J138" s="67">
        <v>0</v>
      </c>
      <c r="K138" s="48">
        <f ca="1">IF(I138&gt;0,J138*100/I138,0)</f>
        <v>0</v>
      </c>
      <c r="L138" s="52">
        <f ca="1">IFERROR(__xludf.DUMMYFUNCTION("IMPORTRANGE(""https://docs.google.com/spreadsheets/d/1C3CXT74ZlgGe6_JY_1olB1XN4rF0dxEuIIF-xsYjHgg/edit?usp=sharing"",""กปร!H66"")"),36800)</f>
        <v>36800</v>
      </c>
      <c r="M138" s="361">
        <v>0</v>
      </c>
      <c r="N138" s="52">
        <f ca="1">+IF(L138&gt;0,M138*100/L138,0)</f>
        <v>0</v>
      </c>
    </row>
    <row r="139" spans="1:14" ht="21.75" customHeight="1" x14ac:dyDescent="0.55000000000000004">
      <c r="A139" s="54"/>
      <c r="B139" s="55"/>
      <c r="C139" s="55"/>
      <c r="D139" s="72"/>
      <c r="E139" s="76"/>
      <c r="F139" s="73" t="s">
        <v>34</v>
      </c>
      <c r="G139" s="75"/>
      <c r="H139" s="59"/>
      <c r="I139" s="66"/>
      <c r="J139" s="66"/>
      <c r="K139" s="48"/>
      <c r="L139" s="60"/>
      <c r="M139" s="60"/>
      <c r="N139" s="60"/>
    </row>
    <row r="140" spans="1:14" ht="21.75" customHeight="1" x14ac:dyDescent="0.55000000000000004">
      <c r="A140" s="54"/>
      <c r="B140" s="55"/>
      <c r="C140" s="55"/>
      <c r="D140" s="72"/>
      <c r="E140" s="76"/>
      <c r="F140" s="74"/>
      <c r="G140" s="98" t="s">
        <v>76</v>
      </c>
      <c r="H140" s="59" t="s">
        <v>16</v>
      </c>
      <c r="I140" s="66">
        <f ca="1">IFERROR(__xludf.DUMMYFUNCTION("IMPORTRANGE(""https://docs.google.com/spreadsheets/d/1C3CXT74ZlgGe6_JY_1olB1XN4rF0dxEuIIF-xsYjHgg/edit?usp=sharing"",""พรบ!AT66"")"),1)</f>
        <v>1</v>
      </c>
      <c r="J140" s="66">
        <v>0</v>
      </c>
      <c r="K140" s="48">
        <f t="shared" ref="K140:K141" ca="1" si="34">IF(I140&gt;0,J140*100/I140,0)</f>
        <v>0</v>
      </c>
      <c r="L140" s="52">
        <f ca="1">IFERROR(__xludf.DUMMYFUNCTION("IMPORTRANGE(""https://docs.google.com/spreadsheets/d/1C3CXT74ZlgGe6_JY_1olB1XN4rF0dxEuIIF-xsYjHgg/edit?usp=sharing"",""กปร!I66"")"),0)</f>
        <v>0</v>
      </c>
      <c r="M140" s="52">
        <v>0</v>
      </c>
      <c r="N140" s="52">
        <f t="shared" ref="N140:N141" ca="1" si="35">+IF(L140&gt;0,M140*100/L140,0)</f>
        <v>0</v>
      </c>
    </row>
    <row r="141" spans="1:14" ht="21.75" customHeight="1" x14ac:dyDescent="0.55000000000000004">
      <c r="A141" s="54"/>
      <c r="B141" s="55"/>
      <c r="C141" s="55"/>
      <c r="D141" s="72"/>
      <c r="E141" s="76"/>
      <c r="F141" s="74"/>
      <c r="G141" s="98" t="s">
        <v>77</v>
      </c>
      <c r="H141" s="59" t="s">
        <v>40</v>
      </c>
      <c r="I141" s="66">
        <f ca="1">IFERROR(__xludf.DUMMYFUNCTION("IMPORTRANGE(""https://docs.google.com/spreadsheets/d/1C3CXT74ZlgGe6_JY_1olB1XN4rF0dxEuIIF-xsYjHgg/edit?usp=sharing"",""พรบ!AU66"")"),0)</f>
        <v>0</v>
      </c>
      <c r="J141" s="67">
        <v>0</v>
      </c>
      <c r="K141" s="48">
        <f t="shared" ca="1" si="34"/>
        <v>0</v>
      </c>
      <c r="L141" s="52">
        <f ca="1">IFERROR(__xludf.DUMMYFUNCTION("IMPORTRANGE(""https://docs.google.com/spreadsheets/d/1C3CXT74ZlgGe6_JY_1olB1XN4rF0dxEuIIF-xsYjHgg/edit?usp=sharing"",""กปร!J66"")"),10000)</f>
        <v>10000</v>
      </c>
      <c r="M141" s="361">
        <v>0</v>
      </c>
      <c r="N141" s="52">
        <f t="shared" ca="1" si="35"/>
        <v>0</v>
      </c>
    </row>
    <row r="142" spans="1:14" ht="21.75" customHeight="1" x14ac:dyDescent="0.55000000000000004">
      <c r="A142" s="54"/>
      <c r="B142" s="55"/>
      <c r="C142" s="55"/>
      <c r="D142" s="72"/>
      <c r="E142" s="73" t="s">
        <v>35</v>
      </c>
      <c r="F142" s="74"/>
      <c r="G142" s="75"/>
      <c r="H142" s="65"/>
      <c r="I142" s="66"/>
      <c r="J142" s="67">
        <v>0</v>
      </c>
      <c r="K142" s="48"/>
      <c r="L142" s="60"/>
      <c r="M142" s="60"/>
      <c r="N142" s="60"/>
    </row>
    <row r="143" spans="1:14" ht="21.75" customHeight="1" x14ac:dyDescent="0.55000000000000004">
      <c r="A143" s="104"/>
      <c r="B143" s="105"/>
      <c r="C143" s="105"/>
      <c r="D143" s="106">
        <v>3</v>
      </c>
      <c r="E143" s="107" t="s">
        <v>36</v>
      </c>
      <c r="F143" s="108"/>
      <c r="G143" s="109"/>
      <c r="H143" s="110"/>
      <c r="I143" s="111"/>
      <c r="J143" s="112">
        <v>0</v>
      </c>
      <c r="K143" s="113"/>
      <c r="L143" s="114"/>
      <c r="M143" s="114"/>
      <c r="N143" s="114"/>
    </row>
    <row r="144" spans="1:14" ht="21.75" customHeight="1" x14ac:dyDescent="0.55000000000000004">
      <c r="A144" s="131"/>
      <c r="B144" s="132" t="s">
        <v>78</v>
      </c>
      <c r="C144" s="133"/>
      <c r="D144" s="132"/>
      <c r="E144" s="132"/>
      <c r="F144" s="132"/>
      <c r="G144" s="134"/>
      <c r="H144" s="135" t="s">
        <v>16</v>
      </c>
      <c r="I144" s="136">
        <f t="shared" ref="I144:J144" ca="1" si="36">+I149+I158</f>
        <v>13</v>
      </c>
      <c r="J144" s="136">
        <f t="shared" si="36"/>
        <v>13</v>
      </c>
      <c r="K144" s="137">
        <f ca="1">IF(I144&gt;0,J144*100/I144,0)</f>
        <v>100</v>
      </c>
      <c r="L144" s="138">
        <f ca="1">L145+L146</f>
        <v>19295</v>
      </c>
      <c r="M144" s="138">
        <f>SUM(M145:M146)</f>
        <v>19295</v>
      </c>
      <c r="N144" s="137">
        <f ca="1">IF(L144&gt;0,M144*100/L144,0)</f>
        <v>100</v>
      </c>
    </row>
    <row r="145" spans="1:14" ht="21.75" customHeight="1" x14ac:dyDescent="0.55000000000000004">
      <c r="A145" s="41"/>
      <c r="B145" s="42"/>
      <c r="C145" s="42" t="s">
        <v>17</v>
      </c>
      <c r="D145" s="43" t="s">
        <v>18</v>
      </c>
      <c r="E145" s="44"/>
      <c r="F145" s="44"/>
      <c r="G145" s="45" t="s">
        <v>19</v>
      </c>
      <c r="H145" s="46" t="s">
        <v>20</v>
      </c>
      <c r="I145" s="47" t="s">
        <v>21</v>
      </c>
      <c r="J145" s="47"/>
      <c r="K145" s="48"/>
      <c r="L145" s="49">
        <v>0</v>
      </c>
      <c r="M145" s="49">
        <v>0</v>
      </c>
      <c r="N145" s="49">
        <f t="shared" ref="N145:N148" si="37">+IF(L145&gt;0,M145*100/L145,0)</f>
        <v>0</v>
      </c>
    </row>
    <row r="146" spans="1:14" ht="21.75" customHeight="1" x14ac:dyDescent="0.55000000000000004">
      <c r="A146" s="41"/>
      <c r="B146" s="42"/>
      <c r="C146" s="42"/>
      <c r="D146" s="50"/>
      <c r="E146" s="44"/>
      <c r="F146" s="44" t="s">
        <v>21</v>
      </c>
      <c r="G146" s="45" t="s">
        <v>22</v>
      </c>
      <c r="H146" s="46" t="s">
        <v>20</v>
      </c>
      <c r="I146" s="47"/>
      <c r="J146" s="47"/>
      <c r="K146" s="48"/>
      <c r="L146" s="49">
        <f t="shared" ref="L146:M146" ca="1" si="38">SUM(L147:L148)</f>
        <v>19295</v>
      </c>
      <c r="M146" s="49">
        <f t="shared" si="38"/>
        <v>19295</v>
      </c>
      <c r="N146" s="49">
        <f t="shared" ca="1" si="37"/>
        <v>100</v>
      </c>
    </row>
    <row r="147" spans="1:14" ht="21.75" customHeight="1" x14ac:dyDescent="0.55000000000000004">
      <c r="A147" s="41"/>
      <c r="B147" s="42"/>
      <c r="C147" s="42"/>
      <c r="D147" s="50"/>
      <c r="E147" s="44"/>
      <c r="F147" s="44"/>
      <c r="G147" s="51" t="s">
        <v>23</v>
      </c>
      <c r="H147" s="46" t="s">
        <v>20</v>
      </c>
      <c r="I147" s="47"/>
      <c r="J147" s="47"/>
      <c r="K147" s="48"/>
      <c r="L147" s="52">
        <v>0</v>
      </c>
      <c r="M147" s="52">
        <v>0</v>
      </c>
      <c r="N147" s="52">
        <f t="shared" si="37"/>
        <v>0</v>
      </c>
    </row>
    <row r="148" spans="1:14" ht="21.75" customHeight="1" x14ac:dyDescent="0.55000000000000004">
      <c r="A148" s="41"/>
      <c r="B148" s="42"/>
      <c r="C148" s="42"/>
      <c r="D148" s="50"/>
      <c r="E148" s="44"/>
      <c r="F148" s="44"/>
      <c r="G148" s="51" t="s">
        <v>24</v>
      </c>
      <c r="H148" s="46" t="s">
        <v>20</v>
      </c>
      <c r="I148" s="47"/>
      <c r="J148" s="47"/>
      <c r="K148" s="48"/>
      <c r="L148" s="52">
        <f ca="1">IFERROR(__xludf.DUMMYFUNCTION("IMPORTRANGE(""https://docs.google.com/spreadsheets/d/1C3CXT74ZlgGe6_JY_1olB1XN4rF0dxEuIIF-xsYjHgg/edit?usp=sharing"",""พรบ!AY66"")"),19295)</f>
        <v>19295</v>
      </c>
      <c r="M148" s="53">
        <v>19295</v>
      </c>
      <c r="N148" s="52">
        <f t="shared" ca="1" si="37"/>
        <v>100</v>
      </c>
    </row>
    <row r="149" spans="1:14" ht="21.75" customHeight="1" x14ac:dyDescent="0.55000000000000004">
      <c r="A149" s="54"/>
      <c r="B149" s="154"/>
      <c r="C149" s="133" t="s">
        <v>79</v>
      </c>
      <c r="D149" s="132"/>
      <c r="E149" s="132"/>
      <c r="F149" s="132"/>
      <c r="G149" s="134"/>
      <c r="H149" s="135" t="s">
        <v>16</v>
      </c>
      <c r="I149" s="136">
        <f ca="1">I155</f>
        <v>13</v>
      </c>
      <c r="J149" s="136">
        <f>+J155</f>
        <v>13</v>
      </c>
      <c r="K149" s="137">
        <f ca="1">IF(I149&gt;0,J149*100/I149,0)</f>
        <v>100</v>
      </c>
      <c r="L149" s="139"/>
      <c r="M149" s="139"/>
      <c r="N149" s="139"/>
    </row>
    <row r="150" spans="1:14" ht="21.75" customHeight="1" x14ac:dyDescent="0.55000000000000004">
      <c r="A150" s="54"/>
      <c r="B150" s="55"/>
      <c r="C150" s="42" t="s">
        <v>17</v>
      </c>
      <c r="D150" s="56" t="s">
        <v>25</v>
      </c>
      <c r="E150" s="57"/>
      <c r="F150" s="57"/>
      <c r="G150" s="58"/>
      <c r="H150" s="59"/>
      <c r="I150" s="47"/>
      <c r="J150" s="47"/>
      <c r="K150" s="48"/>
      <c r="L150" s="60"/>
      <c r="M150" s="60"/>
      <c r="N150" s="60"/>
    </row>
    <row r="151" spans="1:14" ht="21.75" customHeight="1" x14ac:dyDescent="0.55000000000000004">
      <c r="A151" s="54"/>
      <c r="B151" s="55"/>
      <c r="C151" s="55"/>
      <c r="D151" s="61">
        <v>1</v>
      </c>
      <c r="E151" s="62" t="s">
        <v>26</v>
      </c>
      <c r="F151" s="63"/>
      <c r="G151" s="64"/>
      <c r="H151" s="65"/>
      <c r="I151" s="66"/>
      <c r="J151" s="67">
        <v>0</v>
      </c>
      <c r="K151" s="48"/>
      <c r="L151" s="60"/>
      <c r="M151" s="60"/>
      <c r="N151" s="60"/>
    </row>
    <row r="152" spans="1:14" ht="21.75" customHeight="1" x14ac:dyDescent="0.55000000000000004">
      <c r="A152" s="54"/>
      <c r="B152" s="55"/>
      <c r="C152" s="55"/>
      <c r="D152" s="68">
        <v>2</v>
      </c>
      <c r="E152" s="69" t="s">
        <v>27</v>
      </c>
      <c r="F152" s="70"/>
      <c r="G152" s="71"/>
      <c r="H152" s="65"/>
      <c r="I152" s="66"/>
      <c r="J152" s="67">
        <v>1</v>
      </c>
      <c r="K152" s="48"/>
      <c r="L152" s="60" t="s">
        <v>21</v>
      </c>
      <c r="M152" s="60" t="s">
        <v>21</v>
      </c>
      <c r="N152" s="60"/>
    </row>
    <row r="153" spans="1:14" ht="21.75" customHeight="1" x14ac:dyDescent="0.55000000000000004">
      <c r="A153" s="54"/>
      <c r="B153" s="55"/>
      <c r="C153" s="55"/>
      <c r="D153" s="72"/>
      <c r="E153" s="73" t="s">
        <v>28</v>
      </c>
      <c r="F153" s="74"/>
      <c r="G153" s="75"/>
      <c r="H153" s="65"/>
      <c r="I153" s="66"/>
      <c r="J153" s="67">
        <v>1</v>
      </c>
      <c r="K153" s="48"/>
      <c r="L153" s="60"/>
      <c r="M153" s="60"/>
      <c r="N153" s="60"/>
    </row>
    <row r="154" spans="1:14" ht="21.75" customHeight="1" x14ac:dyDescent="0.55000000000000004">
      <c r="A154" s="54"/>
      <c r="B154" s="55"/>
      <c r="C154" s="55"/>
      <c r="D154" s="72"/>
      <c r="E154" s="73" t="s">
        <v>29</v>
      </c>
      <c r="F154" s="74"/>
      <c r="G154" s="75"/>
      <c r="H154" s="65"/>
      <c r="I154" s="66"/>
      <c r="J154" s="67">
        <v>1</v>
      </c>
      <c r="K154" s="48"/>
      <c r="L154" s="60"/>
      <c r="M154" s="60"/>
      <c r="N154" s="60"/>
    </row>
    <row r="155" spans="1:14" ht="21.75" customHeight="1" x14ac:dyDescent="0.55000000000000004">
      <c r="A155" s="54"/>
      <c r="B155" s="55"/>
      <c r="C155" s="55"/>
      <c r="D155" s="72"/>
      <c r="E155" s="76"/>
      <c r="F155" s="74"/>
      <c r="G155" s="98" t="s">
        <v>50</v>
      </c>
      <c r="H155" s="65" t="s">
        <v>16</v>
      </c>
      <c r="I155" s="66">
        <f ca="1">IFERROR(__xludf.DUMMYFUNCTION("IMPORTRANGE(""https://docs.google.com/spreadsheets/d/1C3CXT74ZlgGe6_JY_1olB1XN4rF0dxEuIIF-xsYjHgg/edit?usp=sharing"",""พรบ!BA66"")"),13)</f>
        <v>13</v>
      </c>
      <c r="J155" s="67">
        <v>13</v>
      </c>
      <c r="K155" s="48">
        <f ca="1">IF(I155&gt;0,J155*100/I155,0)</f>
        <v>100</v>
      </c>
      <c r="L155" s="60"/>
      <c r="M155" s="60"/>
      <c r="N155" s="60"/>
    </row>
    <row r="156" spans="1:14" ht="21.75" customHeight="1" x14ac:dyDescent="0.55000000000000004">
      <c r="A156" s="54"/>
      <c r="B156" s="55"/>
      <c r="C156" s="55"/>
      <c r="D156" s="72"/>
      <c r="E156" s="73" t="s">
        <v>35</v>
      </c>
      <c r="F156" s="74"/>
      <c r="G156" s="75"/>
      <c r="H156" s="65"/>
      <c r="I156" s="66"/>
      <c r="J156" s="67">
        <v>0</v>
      </c>
      <c r="K156" s="48"/>
      <c r="L156" s="60"/>
      <c r="M156" s="60"/>
      <c r="N156" s="60"/>
    </row>
    <row r="157" spans="1:14" ht="21.75" customHeight="1" x14ac:dyDescent="0.55000000000000004">
      <c r="A157" s="54"/>
      <c r="B157" s="55"/>
      <c r="C157" s="55"/>
      <c r="D157" s="80">
        <v>3</v>
      </c>
      <c r="E157" s="81" t="s">
        <v>36</v>
      </c>
      <c r="F157" s="82"/>
      <c r="G157" s="83"/>
      <c r="H157" s="65"/>
      <c r="I157" s="66"/>
      <c r="J157" s="84">
        <v>0</v>
      </c>
      <c r="K157" s="48"/>
      <c r="L157" s="60"/>
      <c r="M157" s="60"/>
      <c r="N157" s="60"/>
    </row>
    <row r="158" spans="1:14" ht="21.75" customHeight="1" x14ac:dyDescent="0.55000000000000004">
      <c r="A158" s="54"/>
      <c r="B158" s="55"/>
      <c r="C158" s="133" t="s">
        <v>81</v>
      </c>
      <c r="D158" s="155"/>
      <c r="E158" s="132"/>
      <c r="F158" s="132"/>
      <c r="G158" s="134"/>
      <c r="H158" s="135" t="s">
        <v>16</v>
      </c>
      <c r="I158" s="136">
        <f>I164</f>
        <v>0</v>
      </c>
      <c r="J158" s="136">
        <f>+J164</f>
        <v>0</v>
      </c>
      <c r="K158" s="137">
        <f>IF(I158&gt;0,J158*100/I158,0)</f>
        <v>0</v>
      </c>
      <c r="L158" s="60"/>
      <c r="M158" s="60"/>
      <c r="N158" s="60"/>
    </row>
    <row r="159" spans="1:14" ht="21.75" customHeight="1" x14ac:dyDescent="0.55000000000000004">
      <c r="A159" s="54"/>
      <c r="B159" s="55"/>
      <c r="C159" s="42" t="s">
        <v>17</v>
      </c>
      <c r="D159" s="56" t="s">
        <v>25</v>
      </c>
      <c r="E159" s="57"/>
      <c r="F159" s="57"/>
      <c r="G159" s="58"/>
      <c r="H159" s="59"/>
      <c r="I159" s="47"/>
      <c r="J159" s="47"/>
      <c r="K159" s="48"/>
      <c r="L159" s="60"/>
      <c r="M159" s="60"/>
      <c r="N159" s="60"/>
    </row>
    <row r="160" spans="1:14" ht="21.75" customHeight="1" x14ac:dyDescent="0.55000000000000004">
      <c r="A160" s="54"/>
      <c r="B160" s="55"/>
      <c r="C160" s="55"/>
      <c r="D160" s="61">
        <v>1</v>
      </c>
      <c r="E160" s="62" t="s">
        <v>26</v>
      </c>
      <c r="F160" s="63"/>
      <c r="G160" s="64"/>
      <c r="H160" s="65"/>
      <c r="I160" s="66"/>
      <c r="J160" s="66">
        <v>0</v>
      </c>
      <c r="K160" s="48"/>
      <c r="L160" s="60"/>
      <c r="M160" s="60"/>
      <c r="N160" s="60"/>
    </row>
    <row r="161" spans="1:14" ht="21.75" customHeight="1" x14ac:dyDescent="0.55000000000000004">
      <c r="A161" s="54"/>
      <c r="B161" s="55"/>
      <c r="C161" s="55"/>
      <c r="D161" s="68">
        <v>2</v>
      </c>
      <c r="E161" s="69" t="s">
        <v>27</v>
      </c>
      <c r="F161" s="70"/>
      <c r="G161" s="71"/>
      <c r="H161" s="65"/>
      <c r="I161" s="66"/>
      <c r="J161" s="66">
        <v>0</v>
      </c>
      <c r="K161" s="48"/>
      <c r="L161" s="60" t="s">
        <v>21</v>
      </c>
      <c r="M161" s="60" t="s">
        <v>21</v>
      </c>
      <c r="N161" s="60"/>
    </row>
    <row r="162" spans="1:14" ht="21.75" customHeight="1" x14ac:dyDescent="0.55000000000000004">
      <c r="A162" s="54"/>
      <c r="B162" s="55"/>
      <c r="C162" s="55"/>
      <c r="D162" s="72"/>
      <c r="E162" s="73" t="s">
        <v>28</v>
      </c>
      <c r="F162" s="74"/>
      <c r="G162" s="75"/>
      <c r="H162" s="65"/>
      <c r="I162" s="66"/>
      <c r="J162" s="66">
        <v>0</v>
      </c>
      <c r="K162" s="48"/>
      <c r="L162" s="60"/>
      <c r="M162" s="60"/>
      <c r="N162" s="60"/>
    </row>
    <row r="163" spans="1:14" ht="21.75" customHeight="1" x14ac:dyDescent="0.55000000000000004">
      <c r="A163" s="54"/>
      <c r="B163" s="55"/>
      <c r="C163" s="55"/>
      <c r="D163" s="72"/>
      <c r="E163" s="73" t="s">
        <v>29</v>
      </c>
      <c r="F163" s="74"/>
      <c r="G163" s="75"/>
      <c r="H163" s="65"/>
      <c r="I163" s="66"/>
      <c r="J163" s="66">
        <v>0</v>
      </c>
      <c r="K163" s="48"/>
      <c r="L163" s="60"/>
      <c r="M163" s="60"/>
      <c r="N163" s="60"/>
    </row>
    <row r="164" spans="1:14" ht="21.75" customHeight="1" x14ac:dyDescent="0.55000000000000004">
      <c r="A164" s="54"/>
      <c r="B164" s="55"/>
      <c r="C164" s="55"/>
      <c r="D164" s="72"/>
      <c r="E164" s="74"/>
      <c r="F164" s="73" t="s">
        <v>82</v>
      </c>
      <c r="G164" s="74"/>
      <c r="H164" s="65" t="s">
        <v>16</v>
      </c>
      <c r="I164" s="66">
        <v>0</v>
      </c>
      <c r="J164" s="66">
        <v>0</v>
      </c>
      <c r="K164" s="48">
        <f>IF(I164&gt;0,J164*100/I164,0)</f>
        <v>0</v>
      </c>
      <c r="L164" s="60"/>
      <c r="M164" s="60"/>
      <c r="N164" s="60"/>
    </row>
    <row r="165" spans="1:14" ht="21.75" customHeight="1" x14ac:dyDescent="0.55000000000000004">
      <c r="A165" s="54"/>
      <c r="B165" s="55"/>
      <c r="C165" s="55"/>
      <c r="D165" s="72"/>
      <c r="E165" s="73" t="s">
        <v>35</v>
      </c>
      <c r="F165" s="74"/>
      <c r="G165" s="75"/>
      <c r="H165" s="65"/>
      <c r="I165" s="66"/>
      <c r="J165" s="66">
        <v>0</v>
      </c>
      <c r="K165" s="48"/>
      <c r="L165" s="60"/>
      <c r="M165" s="60"/>
      <c r="N165" s="60"/>
    </row>
    <row r="166" spans="1:14" ht="21.75" customHeight="1" x14ac:dyDescent="0.55000000000000004">
      <c r="A166" s="104"/>
      <c r="B166" s="105"/>
      <c r="C166" s="105"/>
      <c r="D166" s="106">
        <v>3</v>
      </c>
      <c r="E166" s="107" t="s">
        <v>36</v>
      </c>
      <c r="F166" s="108"/>
      <c r="G166" s="109"/>
      <c r="H166" s="110"/>
      <c r="I166" s="111"/>
      <c r="J166" s="357">
        <v>0</v>
      </c>
      <c r="K166" s="113"/>
      <c r="L166" s="114"/>
      <c r="M166" s="114"/>
      <c r="N166" s="114"/>
    </row>
    <row r="167" spans="1:14" ht="21.75" customHeight="1" x14ac:dyDescent="0.55000000000000004">
      <c r="A167" s="156" t="s">
        <v>83</v>
      </c>
      <c r="B167" s="157"/>
      <c r="C167" s="157"/>
      <c r="D167" s="157"/>
      <c r="E167" s="158"/>
      <c r="F167" s="158"/>
      <c r="G167" s="159"/>
      <c r="H167" s="160"/>
      <c r="I167" s="161"/>
      <c r="J167" s="161"/>
      <c r="K167" s="162"/>
      <c r="L167" s="163"/>
      <c r="M167" s="163"/>
      <c r="N167" s="164"/>
    </row>
    <row r="168" spans="1:14" ht="21.75" customHeight="1" x14ac:dyDescent="0.55000000000000004">
      <c r="A168" s="165" t="s">
        <v>84</v>
      </c>
      <c r="B168" s="166"/>
      <c r="C168" s="166"/>
      <c r="D168" s="167"/>
      <c r="E168" s="167"/>
      <c r="F168" s="167"/>
      <c r="G168" s="168"/>
      <c r="H168" s="169"/>
      <c r="I168" s="170"/>
      <c r="J168" s="170"/>
      <c r="K168" s="171"/>
      <c r="L168" s="171"/>
      <c r="M168" s="171"/>
      <c r="N168" s="172"/>
    </row>
    <row r="169" spans="1:14" ht="21.75" customHeight="1" x14ac:dyDescent="0.55000000000000004">
      <c r="A169" s="173"/>
      <c r="B169" s="174" t="s">
        <v>85</v>
      </c>
      <c r="C169" s="174"/>
      <c r="D169" s="174"/>
      <c r="E169" s="174"/>
      <c r="F169" s="174"/>
      <c r="G169" s="175"/>
      <c r="H169" s="176" t="s">
        <v>16</v>
      </c>
      <c r="I169" s="177">
        <f ca="1">I180</f>
        <v>0</v>
      </c>
      <c r="J169" s="177">
        <f>+J180</f>
        <v>0</v>
      </c>
      <c r="K169" s="178">
        <f ca="1">IF(I169&gt;0,J169*100/I169,0)</f>
        <v>0</v>
      </c>
      <c r="L169" s="179">
        <f ca="1">L170+L171</f>
        <v>0</v>
      </c>
      <c r="M169" s="179">
        <f>SUM(M170:M171)</f>
        <v>0</v>
      </c>
      <c r="N169" s="178">
        <f ca="1">IF(L169&gt;0,M169*100/L169,0)</f>
        <v>0</v>
      </c>
    </row>
    <row r="170" spans="1:14" ht="21.75" customHeight="1" x14ac:dyDescent="0.55000000000000004">
      <c r="A170" s="41"/>
      <c r="B170" s="42"/>
      <c r="C170" s="42" t="s">
        <v>17</v>
      </c>
      <c r="D170" s="43" t="s">
        <v>18</v>
      </c>
      <c r="E170" s="44"/>
      <c r="F170" s="44"/>
      <c r="G170" s="45" t="s">
        <v>19</v>
      </c>
      <c r="H170" s="46" t="s">
        <v>20</v>
      </c>
      <c r="I170" s="47" t="s">
        <v>21</v>
      </c>
      <c r="J170" s="47"/>
      <c r="K170" s="48"/>
      <c r="L170" s="49">
        <v>0</v>
      </c>
      <c r="M170" s="49">
        <v>0</v>
      </c>
      <c r="N170" s="49">
        <f t="shared" ref="N170:N173" si="39">+IF(L170&gt;0,M170*100/L170,0)</f>
        <v>0</v>
      </c>
    </row>
    <row r="171" spans="1:14" ht="21.75" customHeight="1" x14ac:dyDescent="0.55000000000000004">
      <c r="A171" s="41"/>
      <c r="B171" s="42"/>
      <c r="C171" s="42"/>
      <c r="D171" s="50"/>
      <c r="E171" s="44"/>
      <c r="F171" s="44" t="s">
        <v>21</v>
      </c>
      <c r="G171" s="45" t="s">
        <v>22</v>
      </c>
      <c r="H171" s="46" t="s">
        <v>20</v>
      </c>
      <c r="I171" s="47"/>
      <c r="J171" s="47"/>
      <c r="K171" s="48"/>
      <c r="L171" s="49">
        <f t="shared" ref="L171:M171" ca="1" si="40">SUM(L172:L173)</f>
        <v>0</v>
      </c>
      <c r="M171" s="49">
        <f t="shared" si="40"/>
        <v>0</v>
      </c>
      <c r="N171" s="49">
        <f t="shared" ca="1" si="39"/>
        <v>0</v>
      </c>
    </row>
    <row r="172" spans="1:14" ht="21.75" customHeight="1" x14ac:dyDescent="0.55000000000000004">
      <c r="A172" s="41"/>
      <c r="B172" s="42"/>
      <c r="C172" s="42"/>
      <c r="D172" s="50"/>
      <c r="E172" s="44"/>
      <c r="F172" s="44"/>
      <c r="G172" s="51" t="s">
        <v>23</v>
      </c>
      <c r="H172" s="46" t="s">
        <v>20</v>
      </c>
      <c r="I172" s="47"/>
      <c r="J172" s="66"/>
      <c r="K172" s="232"/>
      <c r="L172" s="52">
        <f ca="1">IFERROR(__xludf.DUMMYFUNCTION("IMPORTRANGE(""https://docs.google.com/spreadsheets/d/1C3CXT74ZlgGe6_JY_1olB1XN4rF0dxEuIIF-xsYjHgg/edit?usp=sharing"",""พรบ!BD66"")"),0)</f>
        <v>0</v>
      </c>
      <c r="M172" s="52">
        <v>0</v>
      </c>
      <c r="N172" s="52">
        <f t="shared" ca="1" si="39"/>
        <v>0</v>
      </c>
    </row>
    <row r="173" spans="1:14" ht="21.75" customHeight="1" x14ac:dyDescent="0.55000000000000004">
      <c r="A173" s="41"/>
      <c r="B173" s="42"/>
      <c r="C173" s="42"/>
      <c r="D173" s="50"/>
      <c r="E173" s="44"/>
      <c r="F173" s="44"/>
      <c r="G173" s="51" t="s">
        <v>24</v>
      </c>
      <c r="H173" s="46" t="s">
        <v>20</v>
      </c>
      <c r="I173" s="47"/>
      <c r="J173" s="66"/>
      <c r="K173" s="232"/>
      <c r="L173" s="52">
        <f ca="1">IFERROR(__xludf.DUMMYFUNCTION("IMPORTRANGE(""https://docs.google.com/spreadsheets/d/1C3CXT74ZlgGe6_JY_1olB1XN4rF0dxEuIIF-xsYjHgg/edit?usp=sharing"",""พรบ!BE66"")"),0)</f>
        <v>0</v>
      </c>
      <c r="M173" s="52">
        <v>0</v>
      </c>
      <c r="N173" s="52">
        <f t="shared" ca="1" si="39"/>
        <v>0</v>
      </c>
    </row>
    <row r="174" spans="1:14" ht="21.75" customHeight="1" x14ac:dyDescent="0.55000000000000004">
      <c r="A174" s="54"/>
      <c r="B174" s="55"/>
      <c r="C174" s="42" t="s">
        <v>17</v>
      </c>
      <c r="D174" s="56" t="s">
        <v>25</v>
      </c>
      <c r="E174" s="57"/>
      <c r="F174" s="57"/>
      <c r="G174" s="58"/>
      <c r="H174" s="59"/>
      <c r="I174" s="47"/>
      <c r="J174" s="66"/>
      <c r="K174" s="232"/>
      <c r="L174" s="52"/>
      <c r="M174" s="52"/>
      <c r="N174" s="60"/>
    </row>
    <row r="175" spans="1:14" ht="21.75" customHeight="1" x14ac:dyDescent="0.55000000000000004">
      <c r="A175" s="54"/>
      <c r="B175" s="55"/>
      <c r="C175" s="55"/>
      <c r="D175" s="61">
        <v>1</v>
      </c>
      <c r="E175" s="62" t="s">
        <v>26</v>
      </c>
      <c r="F175" s="63"/>
      <c r="G175" s="64"/>
      <c r="H175" s="65"/>
      <c r="I175" s="66"/>
      <c r="J175" s="66">
        <v>0</v>
      </c>
      <c r="K175" s="232"/>
      <c r="L175" s="52"/>
      <c r="M175" s="52"/>
      <c r="N175" s="60"/>
    </row>
    <row r="176" spans="1:14" ht="21.75" customHeight="1" x14ac:dyDescent="0.55000000000000004">
      <c r="A176" s="54"/>
      <c r="B176" s="55"/>
      <c r="C176" s="55"/>
      <c r="D176" s="68">
        <v>2</v>
      </c>
      <c r="E176" s="69" t="s">
        <v>27</v>
      </c>
      <c r="F176" s="70"/>
      <c r="G176" s="71"/>
      <c r="H176" s="65"/>
      <c r="I176" s="66"/>
      <c r="J176" s="66">
        <v>0</v>
      </c>
      <c r="K176" s="232"/>
      <c r="L176" s="52" t="s">
        <v>21</v>
      </c>
      <c r="M176" s="52" t="s">
        <v>21</v>
      </c>
      <c r="N176" s="60"/>
    </row>
    <row r="177" spans="1:14" ht="21.75" customHeight="1" x14ac:dyDescent="0.55000000000000004">
      <c r="A177" s="54"/>
      <c r="B177" s="55"/>
      <c r="C177" s="55"/>
      <c r="D177" s="72"/>
      <c r="E177" s="73" t="s">
        <v>28</v>
      </c>
      <c r="F177" s="74"/>
      <c r="G177" s="75"/>
      <c r="H177" s="65"/>
      <c r="I177" s="66"/>
      <c r="J177" s="66">
        <v>0</v>
      </c>
      <c r="K177" s="232"/>
      <c r="L177" s="52"/>
      <c r="M177" s="52"/>
      <c r="N177" s="60"/>
    </row>
    <row r="178" spans="1:14" ht="21.75" customHeight="1" x14ac:dyDescent="0.55000000000000004">
      <c r="A178" s="54"/>
      <c r="B178" s="55"/>
      <c r="C178" s="55"/>
      <c r="D178" s="72"/>
      <c r="E178" s="73" t="s">
        <v>29</v>
      </c>
      <c r="F178" s="74"/>
      <c r="G178" s="75"/>
      <c r="H178" s="65"/>
      <c r="I178" s="66"/>
      <c r="J178" s="66">
        <v>0</v>
      </c>
      <c r="K178" s="232"/>
      <c r="L178" s="52"/>
      <c r="M178" s="52"/>
      <c r="N178" s="60"/>
    </row>
    <row r="179" spans="1:14" ht="21.75" customHeight="1" x14ac:dyDescent="0.55000000000000004">
      <c r="A179" s="54"/>
      <c r="B179" s="55"/>
      <c r="C179" s="55"/>
      <c r="D179" s="72"/>
      <c r="E179" s="76"/>
      <c r="F179" s="73" t="s">
        <v>86</v>
      </c>
      <c r="G179" s="75"/>
      <c r="H179" s="59" t="s">
        <v>40</v>
      </c>
      <c r="I179" s="66">
        <f ca="1">IFERROR(__xludf.DUMMYFUNCTION("IMPORTRANGE(""https://docs.google.com/spreadsheets/d/1C3CXT74ZlgGe6_JY_1olB1XN4rF0dxEuIIF-xsYjHgg/edit?usp=sharing"",""พรบ!BF66"")"),0)</f>
        <v>0</v>
      </c>
      <c r="J179" s="66">
        <v>0</v>
      </c>
      <c r="K179" s="232">
        <f t="shared" ref="K179:K182" ca="1" si="41">IF(I179&gt;0,J179*100/I179,0)</f>
        <v>0</v>
      </c>
      <c r="L179" s="52"/>
      <c r="M179" s="52"/>
      <c r="N179" s="60"/>
    </row>
    <row r="180" spans="1:14" ht="21.75" customHeight="1" x14ac:dyDescent="0.55000000000000004">
      <c r="A180" s="54"/>
      <c r="B180" s="55"/>
      <c r="C180" s="55"/>
      <c r="D180" s="72"/>
      <c r="E180" s="76"/>
      <c r="F180" s="73" t="s">
        <v>87</v>
      </c>
      <c r="G180" s="75"/>
      <c r="H180" s="59" t="s">
        <v>16</v>
      </c>
      <c r="I180" s="66">
        <f ca="1">IFERROR(__xludf.DUMMYFUNCTION("IMPORTRANGE(""https://docs.google.com/spreadsheets/d/1C3CXT74ZlgGe6_JY_1olB1XN4rF0dxEuIIF-xsYjHgg/edit?usp=sharing"",""พรบ!BG66"")"),0)</f>
        <v>0</v>
      </c>
      <c r="J180" s="66">
        <v>0</v>
      </c>
      <c r="K180" s="232">
        <f t="shared" ca="1" si="41"/>
        <v>0</v>
      </c>
      <c r="L180" s="52"/>
      <c r="M180" s="52"/>
      <c r="N180" s="60"/>
    </row>
    <row r="181" spans="1:14" ht="21.75" customHeight="1" x14ac:dyDescent="0.55000000000000004">
      <c r="A181" s="54"/>
      <c r="B181" s="55"/>
      <c r="C181" s="55"/>
      <c r="D181" s="72"/>
      <c r="E181" s="76"/>
      <c r="F181" s="73" t="s">
        <v>88</v>
      </c>
      <c r="G181" s="75"/>
      <c r="H181" s="59" t="s">
        <v>16</v>
      </c>
      <c r="I181" s="66">
        <f ca="1">IFERROR(__xludf.DUMMYFUNCTION("IMPORTRANGE(""https://docs.google.com/spreadsheets/d/1C3CXT74ZlgGe6_JY_1olB1XN4rF0dxEuIIF-xsYjHgg/edit?usp=sharing"",""พรบ!BH66"")"),0)</f>
        <v>0</v>
      </c>
      <c r="J181" s="66">
        <v>0</v>
      </c>
      <c r="K181" s="232">
        <f t="shared" ca="1" si="41"/>
        <v>0</v>
      </c>
      <c r="L181" s="52"/>
      <c r="M181" s="52"/>
      <c r="N181" s="60"/>
    </row>
    <row r="182" spans="1:14" ht="21.75" customHeight="1" x14ac:dyDescent="0.55000000000000004">
      <c r="A182" s="54"/>
      <c r="B182" s="55"/>
      <c r="C182" s="55"/>
      <c r="D182" s="72"/>
      <c r="E182" s="76"/>
      <c r="F182" s="73" t="s">
        <v>89</v>
      </c>
      <c r="G182" s="75"/>
      <c r="H182" s="59" t="s">
        <v>16</v>
      </c>
      <c r="I182" s="66">
        <f ca="1">IFERROR(__xludf.DUMMYFUNCTION("IMPORTRANGE(""https://docs.google.com/spreadsheets/d/1C3CXT74ZlgGe6_JY_1olB1XN4rF0dxEuIIF-xsYjHgg/edit?usp=sharing"",""พรบ!BI66"")"),0)</f>
        <v>0</v>
      </c>
      <c r="J182" s="66">
        <v>0</v>
      </c>
      <c r="K182" s="232">
        <f t="shared" ca="1" si="41"/>
        <v>0</v>
      </c>
      <c r="L182" s="52"/>
      <c r="M182" s="52"/>
      <c r="N182" s="60"/>
    </row>
    <row r="183" spans="1:14" ht="21.75" customHeight="1" x14ac:dyDescent="0.55000000000000004">
      <c r="A183" s="54"/>
      <c r="B183" s="55"/>
      <c r="C183" s="55"/>
      <c r="D183" s="72"/>
      <c r="E183" s="73" t="s">
        <v>35</v>
      </c>
      <c r="F183" s="74"/>
      <c r="G183" s="75"/>
      <c r="H183" s="65"/>
      <c r="I183" s="66"/>
      <c r="J183" s="66">
        <v>0</v>
      </c>
      <c r="K183" s="232"/>
      <c r="L183" s="52"/>
      <c r="M183" s="52"/>
      <c r="N183" s="60"/>
    </row>
    <row r="184" spans="1:14" ht="21.75" customHeight="1" x14ac:dyDescent="0.55000000000000004">
      <c r="A184" s="104"/>
      <c r="B184" s="105"/>
      <c r="C184" s="105"/>
      <c r="D184" s="106">
        <v>3</v>
      </c>
      <c r="E184" s="107" t="s">
        <v>36</v>
      </c>
      <c r="F184" s="108"/>
      <c r="G184" s="109"/>
      <c r="H184" s="110"/>
      <c r="I184" s="111"/>
      <c r="J184" s="357">
        <v>0</v>
      </c>
      <c r="K184" s="358"/>
      <c r="L184" s="359"/>
      <c r="M184" s="359"/>
      <c r="N184" s="114"/>
    </row>
    <row r="185" spans="1:14" ht="21.75" customHeight="1" x14ac:dyDescent="0.55000000000000004">
      <c r="A185" s="173"/>
      <c r="B185" s="174" t="s">
        <v>90</v>
      </c>
      <c r="C185" s="174"/>
      <c r="D185" s="174"/>
      <c r="E185" s="174"/>
      <c r="F185" s="174"/>
      <c r="G185" s="175"/>
      <c r="H185" s="176" t="s">
        <v>16</v>
      </c>
      <c r="I185" s="177">
        <f ca="1">I195</f>
        <v>0</v>
      </c>
      <c r="J185" s="177">
        <f>+J195</f>
        <v>0</v>
      </c>
      <c r="K185" s="178">
        <f ca="1">IF(I185&gt;0,J185*100/I185,0)</f>
        <v>0</v>
      </c>
      <c r="L185" s="179">
        <f ca="1">L186+L187</f>
        <v>0</v>
      </c>
      <c r="M185" s="179">
        <f>SUM(M186:M187)</f>
        <v>0</v>
      </c>
      <c r="N185" s="178">
        <f ca="1">IF(L185&gt;0,M185*100/L185,0)</f>
        <v>0</v>
      </c>
    </row>
    <row r="186" spans="1:14" ht="21.75" customHeight="1" x14ac:dyDescent="0.55000000000000004">
      <c r="A186" s="41"/>
      <c r="B186" s="42"/>
      <c r="C186" s="42" t="s">
        <v>17</v>
      </c>
      <c r="D186" s="43" t="s">
        <v>18</v>
      </c>
      <c r="E186" s="44"/>
      <c r="F186" s="44"/>
      <c r="G186" s="45" t="s">
        <v>19</v>
      </c>
      <c r="H186" s="46" t="s">
        <v>20</v>
      </c>
      <c r="I186" s="47" t="s">
        <v>21</v>
      </c>
      <c r="J186" s="66"/>
      <c r="K186" s="232"/>
      <c r="L186" s="49">
        <v>0</v>
      </c>
      <c r="M186" s="49">
        <v>0</v>
      </c>
      <c r="N186" s="49">
        <f t="shared" ref="N186:N189" si="42">+IF(L186&gt;0,M186*100/L186,0)</f>
        <v>0</v>
      </c>
    </row>
    <row r="187" spans="1:14" ht="21.75" customHeight="1" x14ac:dyDescent="0.55000000000000004">
      <c r="A187" s="41"/>
      <c r="B187" s="42"/>
      <c r="C187" s="42"/>
      <c r="D187" s="50"/>
      <c r="E187" s="44"/>
      <c r="F187" s="44" t="s">
        <v>21</v>
      </c>
      <c r="G187" s="45" t="s">
        <v>22</v>
      </c>
      <c r="H187" s="46" t="s">
        <v>20</v>
      </c>
      <c r="I187" s="47"/>
      <c r="J187" s="66"/>
      <c r="K187" s="232"/>
      <c r="L187" s="49">
        <f t="shared" ref="L187:M187" ca="1" si="43">SUM(L188:L189)</f>
        <v>0</v>
      </c>
      <c r="M187" s="49">
        <f t="shared" si="43"/>
        <v>0</v>
      </c>
      <c r="N187" s="49">
        <f t="shared" ca="1" si="42"/>
        <v>0</v>
      </c>
    </row>
    <row r="188" spans="1:14" ht="21.75" customHeight="1" x14ac:dyDescent="0.55000000000000004">
      <c r="A188" s="41"/>
      <c r="B188" s="42"/>
      <c r="C188" s="42"/>
      <c r="D188" s="50"/>
      <c r="E188" s="44"/>
      <c r="F188" s="44"/>
      <c r="G188" s="51" t="s">
        <v>23</v>
      </c>
      <c r="H188" s="46" t="s">
        <v>20</v>
      </c>
      <c r="I188" s="47"/>
      <c r="J188" s="66"/>
      <c r="K188" s="232"/>
      <c r="L188" s="52">
        <f ca="1">IFERROR(__xludf.DUMMYFUNCTION("IMPORTRANGE(""https://docs.google.com/spreadsheets/d/1C3CXT74ZlgGe6_JY_1olB1XN4rF0dxEuIIF-xsYjHgg/edit?usp=sharing"",""พรบ!BK66"")"),0)</f>
        <v>0</v>
      </c>
      <c r="M188" s="52">
        <v>0</v>
      </c>
      <c r="N188" s="52">
        <f t="shared" ca="1" si="42"/>
        <v>0</v>
      </c>
    </row>
    <row r="189" spans="1:14" ht="21.75" customHeight="1" x14ac:dyDescent="0.55000000000000004">
      <c r="A189" s="41"/>
      <c r="B189" s="42"/>
      <c r="C189" s="42"/>
      <c r="D189" s="50"/>
      <c r="E189" s="44"/>
      <c r="F189" s="44"/>
      <c r="G189" s="51" t="s">
        <v>24</v>
      </c>
      <c r="H189" s="46" t="s">
        <v>20</v>
      </c>
      <c r="I189" s="47"/>
      <c r="J189" s="66"/>
      <c r="K189" s="232"/>
      <c r="L189" s="52">
        <f ca="1">IFERROR(__xludf.DUMMYFUNCTION("IMPORTRANGE(""https://docs.google.com/spreadsheets/d/1C3CXT74ZlgGe6_JY_1olB1XN4rF0dxEuIIF-xsYjHgg/edit?usp=sharing"",""พรบ!BL66"")"),0)</f>
        <v>0</v>
      </c>
      <c r="M189" s="52">
        <v>0</v>
      </c>
      <c r="N189" s="52">
        <f t="shared" ca="1" si="42"/>
        <v>0</v>
      </c>
    </row>
    <row r="190" spans="1:14" ht="21.75" customHeight="1" x14ac:dyDescent="0.55000000000000004">
      <c r="A190" s="54"/>
      <c r="B190" s="55"/>
      <c r="C190" s="42" t="s">
        <v>17</v>
      </c>
      <c r="D190" s="56" t="s">
        <v>25</v>
      </c>
      <c r="E190" s="57"/>
      <c r="F190" s="57"/>
      <c r="G190" s="58"/>
      <c r="H190" s="59"/>
      <c r="I190" s="47"/>
      <c r="J190" s="66"/>
      <c r="K190" s="232"/>
      <c r="L190" s="52"/>
      <c r="M190" s="52"/>
      <c r="N190" s="60"/>
    </row>
    <row r="191" spans="1:14" ht="21.75" customHeight="1" x14ac:dyDescent="0.55000000000000004">
      <c r="A191" s="54"/>
      <c r="B191" s="55"/>
      <c r="C191" s="55"/>
      <c r="D191" s="61">
        <v>1</v>
      </c>
      <c r="E191" s="62" t="s">
        <v>26</v>
      </c>
      <c r="F191" s="63"/>
      <c r="G191" s="64"/>
      <c r="H191" s="65"/>
      <c r="I191" s="66"/>
      <c r="J191" s="66">
        <v>0</v>
      </c>
      <c r="K191" s="232"/>
      <c r="L191" s="52"/>
      <c r="M191" s="52"/>
      <c r="N191" s="60"/>
    </row>
    <row r="192" spans="1:14" ht="21.75" customHeight="1" x14ac:dyDescent="0.55000000000000004">
      <c r="A192" s="54"/>
      <c r="B192" s="55"/>
      <c r="C192" s="55"/>
      <c r="D192" s="68">
        <v>2</v>
      </c>
      <c r="E192" s="69" t="s">
        <v>27</v>
      </c>
      <c r="F192" s="70"/>
      <c r="G192" s="71"/>
      <c r="H192" s="65"/>
      <c r="I192" s="66"/>
      <c r="J192" s="66">
        <v>0</v>
      </c>
      <c r="K192" s="232"/>
      <c r="L192" s="52"/>
      <c r="M192" s="52"/>
      <c r="N192" s="60"/>
    </row>
    <row r="193" spans="1:14" ht="21.75" customHeight="1" x14ac:dyDescent="0.55000000000000004">
      <c r="A193" s="54"/>
      <c r="B193" s="55"/>
      <c r="C193" s="55"/>
      <c r="D193" s="72"/>
      <c r="E193" s="73" t="s">
        <v>28</v>
      </c>
      <c r="F193" s="74"/>
      <c r="G193" s="75"/>
      <c r="H193" s="65"/>
      <c r="I193" s="66"/>
      <c r="J193" s="66">
        <v>0</v>
      </c>
      <c r="K193" s="232"/>
      <c r="L193" s="52"/>
      <c r="M193" s="52"/>
      <c r="N193" s="60"/>
    </row>
    <row r="194" spans="1:14" ht="21.75" customHeight="1" x14ac:dyDescent="0.55000000000000004">
      <c r="A194" s="54"/>
      <c r="B194" s="55"/>
      <c r="C194" s="55"/>
      <c r="D194" s="72"/>
      <c r="E194" s="73" t="s">
        <v>29</v>
      </c>
      <c r="F194" s="74"/>
      <c r="G194" s="75"/>
      <c r="H194" s="65"/>
      <c r="I194" s="66"/>
      <c r="J194" s="66">
        <v>0</v>
      </c>
      <c r="K194" s="232"/>
      <c r="L194" s="52"/>
      <c r="M194" s="52"/>
      <c r="N194" s="60"/>
    </row>
    <row r="195" spans="1:14" ht="21.75" customHeight="1" x14ac:dyDescent="0.55000000000000004">
      <c r="A195" s="54"/>
      <c r="B195" s="55"/>
      <c r="C195" s="55"/>
      <c r="D195" s="72"/>
      <c r="E195" s="74"/>
      <c r="F195" s="73" t="s">
        <v>91</v>
      </c>
      <c r="G195" s="75"/>
      <c r="H195" s="65" t="s">
        <v>16</v>
      </c>
      <c r="I195" s="66">
        <f ca="1">IFERROR(__xludf.DUMMYFUNCTION("IMPORTRANGE(""https://docs.google.com/spreadsheets/d/1C3CXT74ZlgGe6_JY_1olB1XN4rF0dxEuIIF-xsYjHgg/edit?usp=sharing"",""พรบ!BM66"")"),0)</f>
        <v>0</v>
      </c>
      <c r="J195" s="66">
        <v>0</v>
      </c>
      <c r="K195" s="232">
        <f ca="1">IF(I195&gt;0,J195*100/I195,0)</f>
        <v>0</v>
      </c>
      <c r="L195" s="52"/>
      <c r="M195" s="52"/>
      <c r="N195" s="60"/>
    </row>
    <row r="196" spans="1:14" ht="21.75" customHeight="1" x14ac:dyDescent="0.55000000000000004">
      <c r="A196" s="54"/>
      <c r="B196" s="55"/>
      <c r="C196" s="55"/>
      <c r="D196" s="72"/>
      <c r="E196" s="73" t="s">
        <v>35</v>
      </c>
      <c r="F196" s="74"/>
      <c r="G196" s="75"/>
      <c r="H196" s="65"/>
      <c r="I196" s="66"/>
      <c r="J196" s="66">
        <v>0</v>
      </c>
      <c r="K196" s="232"/>
      <c r="L196" s="52"/>
      <c r="M196" s="52"/>
      <c r="N196" s="60"/>
    </row>
    <row r="197" spans="1:14" ht="21.75" customHeight="1" x14ac:dyDescent="0.55000000000000004">
      <c r="A197" s="54"/>
      <c r="B197" s="55"/>
      <c r="C197" s="55"/>
      <c r="D197" s="80">
        <v>3</v>
      </c>
      <c r="E197" s="81" t="s">
        <v>36</v>
      </c>
      <c r="F197" s="82"/>
      <c r="G197" s="83"/>
      <c r="H197" s="65"/>
      <c r="I197" s="66"/>
      <c r="J197" s="356">
        <v>0</v>
      </c>
      <c r="K197" s="232"/>
      <c r="L197" s="52"/>
      <c r="M197" s="52"/>
      <c r="N197" s="60"/>
    </row>
    <row r="198" spans="1:14" ht="21.75" customHeight="1" x14ac:dyDescent="0.55000000000000004">
      <c r="A198" s="165" t="s">
        <v>92</v>
      </c>
      <c r="B198" s="166"/>
      <c r="C198" s="166"/>
      <c r="D198" s="167"/>
      <c r="E198" s="166"/>
      <c r="F198" s="166"/>
      <c r="G198" s="180"/>
      <c r="H198" s="181"/>
      <c r="I198" s="182"/>
      <c r="J198" s="182"/>
      <c r="K198" s="183"/>
      <c r="L198" s="183"/>
      <c r="M198" s="183"/>
      <c r="N198" s="172"/>
    </row>
    <row r="199" spans="1:14" ht="21.75" customHeight="1" x14ac:dyDescent="0.55000000000000004">
      <c r="A199" s="184"/>
      <c r="B199" s="174" t="s">
        <v>93</v>
      </c>
      <c r="C199" s="185"/>
      <c r="D199" s="186"/>
      <c r="E199" s="174"/>
      <c r="F199" s="174"/>
      <c r="G199" s="175"/>
      <c r="H199" s="176" t="s">
        <v>16</v>
      </c>
      <c r="I199" s="177">
        <f t="shared" ref="I199:J199" ca="1" si="44">I209</f>
        <v>0</v>
      </c>
      <c r="J199" s="177">
        <f t="shared" si="44"/>
        <v>0</v>
      </c>
      <c r="K199" s="178">
        <f ca="1">IF(I199&gt;0,J199*100/I199,0)</f>
        <v>0</v>
      </c>
      <c r="L199" s="179">
        <f ca="1">L200+L201</f>
        <v>0</v>
      </c>
      <c r="M199" s="179">
        <f>SUM(M200:M201)</f>
        <v>0</v>
      </c>
      <c r="N199" s="178">
        <f ca="1">IF(L199&gt;0,M199*100/L199,0)</f>
        <v>0</v>
      </c>
    </row>
    <row r="200" spans="1:14" ht="21.75" customHeight="1" x14ac:dyDescent="0.55000000000000004">
      <c r="A200" s="41"/>
      <c r="B200" s="42"/>
      <c r="C200" s="42" t="s">
        <v>17</v>
      </c>
      <c r="D200" s="43" t="s">
        <v>18</v>
      </c>
      <c r="E200" s="44"/>
      <c r="F200" s="44"/>
      <c r="G200" s="45" t="s">
        <v>19</v>
      </c>
      <c r="H200" s="46" t="s">
        <v>20</v>
      </c>
      <c r="I200" s="47" t="s">
        <v>21</v>
      </c>
      <c r="J200" s="66"/>
      <c r="K200" s="232"/>
      <c r="L200" s="49">
        <v>0</v>
      </c>
      <c r="M200" s="49">
        <v>0</v>
      </c>
      <c r="N200" s="49">
        <f t="shared" ref="N200:N203" si="45">+IF(L200&gt;0,M200*100/L200,0)</f>
        <v>0</v>
      </c>
    </row>
    <row r="201" spans="1:14" ht="21.75" customHeight="1" x14ac:dyDescent="0.55000000000000004">
      <c r="A201" s="41"/>
      <c r="B201" s="42"/>
      <c r="C201" s="42"/>
      <c r="D201" s="50"/>
      <c r="E201" s="44"/>
      <c r="F201" s="44" t="s">
        <v>21</v>
      </c>
      <c r="G201" s="45" t="s">
        <v>22</v>
      </c>
      <c r="H201" s="46" t="s">
        <v>20</v>
      </c>
      <c r="I201" s="47"/>
      <c r="J201" s="66"/>
      <c r="K201" s="232"/>
      <c r="L201" s="49">
        <f t="shared" ref="L201:M201" ca="1" si="46">SUM(L202:L203)</f>
        <v>0</v>
      </c>
      <c r="M201" s="49">
        <f t="shared" si="46"/>
        <v>0</v>
      </c>
      <c r="N201" s="49">
        <f t="shared" ca="1" si="45"/>
        <v>0</v>
      </c>
    </row>
    <row r="202" spans="1:14" ht="21.75" customHeight="1" x14ac:dyDescent="0.55000000000000004">
      <c r="A202" s="41"/>
      <c r="B202" s="42"/>
      <c r="C202" s="42"/>
      <c r="D202" s="50"/>
      <c r="E202" s="44"/>
      <c r="F202" s="44"/>
      <c r="G202" s="51" t="s">
        <v>23</v>
      </c>
      <c r="H202" s="46" t="s">
        <v>20</v>
      </c>
      <c r="I202" s="47"/>
      <c r="J202" s="66"/>
      <c r="K202" s="232"/>
      <c r="L202" s="52">
        <v>0</v>
      </c>
      <c r="M202" s="52">
        <v>0</v>
      </c>
      <c r="N202" s="52">
        <f t="shared" si="45"/>
        <v>0</v>
      </c>
    </row>
    <row r="203" spans="1:14" ht="21.75" customHeight="1" x14ac:dyDescent="0.55000000000000004">
      <c r="A203" s="41"/>
      <c r="B203" s="42"/>
      <c r="C203" s="42"/>
      <c r="D203" s="50"/>
      <c r="E203" s="44"/>
      <c r="F203" s="44"/>
      <c r="G203" s="51" t="s">
        <v>24</v>
      </c>
      <c r="H203" s="46" t="s">
        <v>20</v>
      </c>
      <c r="I203" s="47"/>
      <c r="J203" s="66"/>
      <c r="K203" s="232"/>
      <c r="L203" s="52">
        <f ca="1">IFERROR(__xludf.DUMMYFUNCTION("IMPORTRANGE(""https://docs.google.com/spreadsheets/d/1C3CXT74ZlgGe6_JY_1olB1XN4rF0dxEuIIF-xsYjHgg/edit?usp=sharing"",""พรบ!BP66"")"),0)</f>
        <v>0</v>
      </c>
      <c r="M203" s="52">
        <v>0</v>
      </c>
      <c r="N203" s="52">
        <f t="shared" ca="1" si="45"/>
        <v>0</v>
      </c>
    </row>
    <row r="204" spans="1:14" ht="21.75" customHeight="1" x14ac:dyDescent="0.55000000000000004">
      <c r="A204" s="54"/>
      <c r="B204" s="55"/>
      <c r="C204" s="42" t="s">
        <v>17</v>
      </c>
      <c r="D204" s="56" t="s">
        <v>25</v>
      </c>
      <c r="E204" s="57"/>
      <c r="F204" s="57"/>
      <c r="G204" s="58"/>
      <c r="H204" s="59"/>
      <c r="I204" s="47"/>
      <c r="J204" s="66"/>
      <c r="K204" s="232"/>
      <c r="L204" s="52"/>
      <c r="M204" s="52"/>
      <c r="N204" s="60"/>
    </row>
    <row r="205" spans="1:14" ht="21.75" customHeight="1" x14ac:dyDescent="0.55000000000000004">
      <c r="A205" s="54"/>
      <c r="B205" s="55"/>
      <c r="C205" s="55"/>
      <c r="D205" s="61">
        <v>1</v>
      </c>
      <c r="E205" s="62" t="s">
        <v>26</v>
      </c>
      <c r="F205" s="63"/>
      <c r="G205" s="64"/>
      <c r="H205" s="65"/>
      <c r="I205" s="66"/>
      <c r="J205" s="66">
        <v>0</v>
      </c>
      <c r="K205" s="232"/>
      <c r="L205" s="52"/>
      <c r="M205" s="52"/>
      <c r="N205" s="60"/>
    </row>
    <row r="206" spans="1:14" ht="21.75" customHeight="1" x14ac:dyDescent="0.55000000000000004">
      <c r="A206" s="54"/>
      <c r="B206" s="55"/>
      <c r="C206" s="55"/>
      <c r="D206" s="68">
        <v>2</v>
      </c>
      <c r="E206" s="69" t="s">
        <v>27</v>
      </c>
      <c r="F206" s="70"/>
      <c r="G206" s="71"/>
      <c r="H206" s="65"/>
      <c r="I206" s="66"/>
      <c r="J206" s="66">
        <v>0</v>
      </c>
      <c r="K206" s="232"/>
      <c r="L206" s="52" t="s">
        <v>21</v>
      </c>
      <c r="M206" s="52" t="s">
        <v>21</v>
      </c>
      <c r="N206" s="60"/>
    </row>
    <row r="207" spans="1:14" ht="21.75" customHeight="1" x14ac:dyDescent="0.55000000000000004">
      <c r="A207" s="54"/>
      <c r="B207" s="55"/>
      <c r="C207" s="55"/>
      <c r="D207" s="72"/>
      <c r="E207" s="73" t="s">
        <v>28</v>
      </c>
      <c r="F207" s="74"/>
      <c r="G207" s="75"/>
      <c r="H207" s="65"/>
      <c r="I207" s="66"/>
      <c r="J207" s="66">
        <v>0</v>
      </c>
      <c r="K207" s="232"/>
      <c r="L207" s="52"/>
      <c r="M207" s="52"/>
      <c r="N207" s="60"/>
    </row>
    <row r="208" spans="1:14" ht="21.75" customHeight="1" x14ac:dyDescent="0.55000000000000004">
      <c r="A208" s="54"/>
      <c r="B208" s="55"/>
      <c r="C208" s="55"/>
      <c r="D208" s="72"/>
      <c r="E208" s="73" t="s">
        <v>29</v>
      </c>
      <c r="F208" s="74"/>
      <c r="G208" s="75"/>
      <c r="H208" s="65"/>
      <c r="I208" s="66"/>
      <c r="J208" s="66">
        <v>0</v>
      </c>
      <c r="K208" s="232"/>
      <c r="L208" s="52"/>
      <c r="M208" s="52"/>
      <c r="N208" s="60"/>
    </row>
    <row r="209" spans="1:14" ht="21.75" customHeight="1" x14ac:dyDescent="0.55000000000000004">
      <c r="A209" s="54"/>
      <c r="B209" s="55"/>
      <c r="C209" s="55"/>
      <c r="D209" s="72"/>
      <c r="E209" s="76"/>
      <c r="F209" s="73" t="s">
        <v>94</v>
      </c>
      <c r="G209" s="75"/>
      <c r="H209" s="59" t="s">
        <v>16</v>
      </c>
      <c r="I209" s="66">
        <f ca="1">IFERROR(__xludf.DUMMYFUNCTION("IMPORTRANGE(""https://docs.google.com/spreadsheets/d/1C3CXT74ZlgGe6_JY_1olB1XN4rF0dxEuIIF-xsYjHgg/edit?usp=sharing"",""พรบ!BQ66"")"),0)</f>
        <v>0</v>
      </c>
      <c r="J209" s="66">
        <v>0</v>
      </c>
      <c r="K209" s="232">
        <f ca="1">IF(I209&gt;0,J209*100/I209,0)</f>
        <v>0</v>
      </c>
      <c r="L209" s="52"/>
      <c r="M209" s="52"/>
      <c r="N209" s="60"/>
    </row>
    <row r="210" spans="1:14" ht="21.75" customHeight="1" x14ac:dyDescent="0.55000000000000004">
      <c r="A210" s="54"/>
      <c r="B210" s="55"/>
      <c r="C210" s="55"/>
      <c r="D210" s="72"/>
      <c r="E210" s="76"/>
      <c r="F210" s="73" t="s">
        <v>95</v>
      </c>
      <c r="G210" s="75"/>
      <c r="H210" s="59"/>
      <c r="I210" s="66"/>
      <c r="J210" s="66"/>
      <c r="K210" s="232"/>
      <c r="L210" s="52"/>
      <c r="M210" s="52"/>
      <c r="N210" s="60"/>
    </row>
    <row r="211" spans="1:14" ht="21.75" customHeight="1" x14ac:dyDescent="0.55000000000000004">
      <c r="A211" s="54"/>
      <c r="B211" s="55"/>
      <c r="C211" s="55"/>
      <c r="D211" s="72"/>
      <c r="E211" s="76"/>
      <c r="F211" s="74" t="s">
        <v>34</v>
      </c>
      <c r="G211" s="75"/>
      <c r="H211" s="59" t="s">
        <v>16</v>
      </c>
      <c r="I211" s="66">
        <f ca="1">IFERROR(__xludf.DUMMYFUNCTION("IMPORTRANGE(""https://docs.google.com/spreadsheets/d/1C3CXT74ZlgGe6_JY_1olB1XN4rF0dxEuIIF-xsYjHgg/edit?usp=sharing"",""พรบ!BR66"")"),0)</f>
        <v>0</v>
      </c>
      <c r="J211" s="66">
        <v>0</v>
      </c>
      <c r="K211" s="232">
        <f ca="1">IF(I211&gt;0,J211*100/I211,0)</f>
        <v>0</v>
      </c>
      <c r="L211" s="52"/>
      <c r="M211" s="52"/>
      <c r="N211" s="60"/>
    </row>
    <row r="212" spans="1:14" ht="21.75" customHeight="1" x14ac:dyDescent="0.55000000000000004">
      <c r="A212" s="54"/>
      <c r="B212" s="55"/>
      <c r="C212" s="55"/>
      <c r="D212" s="72"/>
      <c r="E212" s="73" t="s">
        <v>35</v>
      </c>
      <c r="F212" s="74"/>
      <c r="G212" s="75"/>
      <c r="H212" s="65"/>
      <c r="I212" s="66"/>
      <c r="J212" s="66">
        <v>0</v>
      </c>
      <c r="K212" s="232"/>
      <c r="L212" s="52"/>
      <c r="M212" s="52"/>
      <c r="N212" s="60"/>
    </row>
    <row r="213" spans="1:14" ht="21.75" customHeight="1" x14ac:dyDescent="0.55000000000000004">
      <c r="A213" s="54"/>
      <c r="B213" s="55"/>
      <c r="C213" s="55"/>
      <c r="D213" s="80">
        <v>3</v>
      </c>
      <c r="E213" s="81" t="s">
        <v>36</v>
      </c>
      <c r="F213" s="82"/>
      <c r="G213" s="83"/>
      <c r="H213" s="65"/>
      <c r="I213" s="66"/>
      <c r="J213" s="362">
        <v>0</v>
      </c>
      <c r="K213" s="232"/>
      <c r="L213" s="52"/>
      <c r="M213" s="52"/>
      <c r="N213" s="60"/>
    </row>
    <row r="214" spans="1:14" ht="21.75" customHeight="1" x14ac:dyDescent="0.55000000000000004">
      <c r="A214" s="188"/>
      <c r="B214" s="189" t="s">
        <v>96</v>
      </c>
      <c r="C214" s="190"/>
      <c r="D214" s="191"/>
      <c r="E214" s="189"/>
      <c r="F214" s="189"/>
      <c r="G214" s="192"/>
      <c r="H214" s="193" t="s">
        <v>97</v>
      </c>
      <c r="I214" s="194">
        <f t="shared" ref="I214:J214" ca="1" si="47">I224</f>
        <v>0</v>
      </c>
      <c r="J214" s="194">
        <f t="shared" si="47"/>
        <v>0</v>
      </c>
      <c r="K214" s="195">
        <f ca="1">IF(I214&gt;0,J214*100/I214,0)</f>
        <v>0</v>
      </c>
      <c r="L214" s="196">
        <f ca="1">L215+L216</f>
        <v>0</v>
      </c>
      <c r="M214" s="196">
        <f>SUM(M215:M216)</f>
        <v>0</v>
      </c>
      <c r="N214" s="195">
        <f ca="1">IF(L214&gt;0,M214*100/L214,0)</f>
        <v>0</v>
      </c>
    </row>
    <row r="215" spans="1:14" ht="21.75" customHeight="1" x14ac:dyDescent="0.55000000000000004">
      <c r="A215" s="41"/>
      <c r="B215" s="42"/>
      <c r="C215" s="42" t="s">
        <v>17</v>
      </c>
      <c r="D215" s="43" t="s">
        <v>18</v>
      </c>
      <c r="E215" s="44"/>
      <c r="F215" s="44"/>
      <c r="G215" s="45" t="s">
        <v>19</v>
      </c>
      <c r="H215" s="46" t="s">
        <v>20</v>
      </c>
      <c r="I215" s="47" t="s">
        <v>21</v>
      </c>
      <c r="J215" s="66"/>
      <c r="K215" s="232"/>
      <c r="L215" s="49">
        <v>0</v>
      </c>
      <c r="M215" s="52">
        <v>0</v>
      </c>
      <c r="N215" s="52">
        <f t="shared" ref="N215:N218" si="48">+IF(L215&gt;0,M215*100/L215,0)</f>
        <v>0</v>
      </c>
    </row>
    <row r="216" spans="1:14" ht="21.75" customHeight="1" x14ac:dyDescent="0.55000000000000004">
      <c r="A216" s="41"/>
      <c r="B216" s="42"/>
      <c r="C216" s="42"/>
      <c r="D216" s="50"/>
      <c r="E216" s="44"/>
      <c r="F216" s="44" t="s">
        <v>21</v>
      </c>
      <c r="G216" s="45" t="s">
        <v>22</v>
      </c>
      <c r="H216" s="46" t="s">
        <v>20</v>
      </c>
      <c r="I216" s="47"/>
      <c r="J216" s="66"/>
      <c r="K216" s="232"/>
      <c r="L216" s="49">
        <f t="shared" ref="L216:M216" ca="1" si="49">SUM(L217:L218)</f>
        <v>0</v>
      </c>
      <c r="M216" s="52">
        <f t="shared" si="49"/>
        <v>0</v>
      </c>
      <c r="N216" s="52">
        <f t="shared" ca="1" si="48"/>
        <v>0</v>
      </c>
    </row>
    <row r="217" spans="1:14" ht="21.75" customHeight="1" x14ac:dyDescent="0.55000000000000004">
      <c r="A217" s="41"/>
      <c r="B217" s="42"/>
      <c r="C217" s="42"/>
      <c r="D217" s="50"/>
      <c r="E217" s="44"/>
      <c r="F217" s="44"/>
      <c r="G217" s="51" t="s">
        <v>23</v>
      </c>
      <c r="H217" s="46" t="s">
        <v>20</v>
      </c>
      <c r="I217" s="47"/>
      <c r="J217" s="66"/>
      <c r="K217" s="232"/>
      <c r="L217" s="52">
        <v>0</v>
      </c>
      <c r="M217" s="52">
        <v>0</v>
      </c>
      <c r="N217" s="52">
        <f t="shared" si="48"/>
        <v>0</v>
      </c>
    </row>
    <row r="218" spans="1:14" ht="21.75" customHeight="1" x14ac:dyDescent="0.55000000000000004">
      <c r="A218" s="41"/>
      <c r="B218" s="42"/>
      <c r="C218" s="42"/>
      <c r="D218" s="50"/>
      <c r="E218" s="44"/>
      <c r="F218" s="44"/>
      <c r="G218" s="51" t="s">
        <v>24</v>
      </c>
      <c r="H218" s="46" t="s">
        <v>20</v>
      </c>
      <c r="I218" s="47"/>
      <c r="J218" s="66"/>
      <c r="K218" s="232"/>
      <c r="L218" s="52">
        <f ca="1">IFERROR(__xludf.DUMMYFUNCTION("IMPORTRANGE(""https://docs.google.com/spreadsheets/d/1C3CXT74ZlgGe6_JY_1olB1XN4rF0dxEuIIF-xsYjHgg/edit?usp=sharing"",""พรบ!BU66"")"),0)</f>
        <v>0</v>
      </c>
      <c r="M218" s="52">
        <v>0</v>
      </c>
      <c r="N218" s="52">
        <f t="shared" ca="1" si="48"/>
        <v>0</v>
      </c>
    </row>
    <row r="219" spans="1:14" ht="21.75" customHeight="1" x14ac:dyDescent="0.55000000000000004">
      <c r="A219" s="54"/>
      <c r="B219" s="55"/>
      <c r="C219" s="42" t="s">
        <v>17</v>
      </c>
      <c r="D219" s="56" t="s">
        <v>25</v>
      </c>
      <c r="E219" s="57"/>
      <c r="F219" s="57"/>
      <c r="G219" s="58"/>
      <c r="H219" s="59"/>
      <c r="I219" s="47"/>
      <c r="J219" s="66"/>
      <c r="K219" s="232"/>
      <c r="L219" s="52"/>
      <c r="M219" s="52"/>
      <c r="N219" s="60"/>
    </row>
    <row r="220" spans="1:14" ht="21.75" customHeight="1" x14ac:dyDescent="0.55000000000000004">
      <c r="A220" s="54"/>
      <c r="B220" s="55"/>
      <c r="C220" s="55"/>
      <c r="D220" s="61">
        <v>1</v>
      </c>
      <c r="E220" s="62" t="s">
        <v>26</v>
      </c>
      <c r="F220" s="63"/>
      <c r="G220" s="64"/>
      <c r="H220" s="65"/>
      <c r="I220" s="66"/>
      <c r="J220" s="66">
        <v>0</v>
      </c>
      <c r="K220" s="232"/>
      <c r="L220" s="52"/>
      <c r="M220" s="52"/>
      <c r="N220" s="60"/>
    </row>
    <row r="221" spans="1:14" ht="21.75" customHeight="1" x14ac:dyDescent="0.55000000000000004">
      <c r="A221" s="54"/>
      <c r="B221" s="55"/>
      <c r="C221" s="55"/>
      <c r="D221" s="68">
        <v>2</v>
      </c>
      <c r="E221" s="69" t="s">
        <v>27</v>
      </c>
      <c r="F221" s="70"/>
      <c r="G221" s="71"/>
      <c r="H221" s="65"/>
      <c r="I221" s="66"/>
      <c r="J221" s="66">
        <v>0</v>
      </c>
      <c r="K221" s="232"/>
      <c r="L221" s="52" t="s">
        <v>21</v>
      </c>
      <c r="M221" s="52" t="s">
        <v>21</v>
      </c>
      <c r="N221" s="60"/>
    </row>
    <row r="222" spans="1:14" ht="21.75" customHeight="1" x14ac:dyDescent="0.55000000000000004">
      <c r="A222" s="54"/>
      <c r="B222" s="55"/>
      <c r="C222" s="55"/>
      <c r="D222" s="72"/>
      <c r="E222" s="73" t="s">
        <v>28</v>
      </c>
      <c r="F222" s="74"/>
      <c r="G222" s="75"/>
      <c r="H222" s="65"/>
      <c r="I222" s="66"/>
      <c r="J222" s="66">
        <v>0</v>
      </c>
      <c r="K222" s="232"/>
      <c r="L222" s="52"/>
      <c r="M222" s="52"/>
      <c r="N222" s="60"/>
    </row>
    <row r="223" spans="1:14" ht="21.75" customHeight="1" x14ac:dyDescent="0.55000000000000004">
      <c r="A223" s="54"/>
      <c r="B223" s="55"/>
      <c r="C223" s="55"/>
      <c r="D223" s="72"/>
      <c r="E223" s="73" t="s">
        <v>29</v>
      </c>
      <c r="F223" s="74"/>
      <c r="G223" s="75"/>
      <c r="H223" s="65"/>
      <c r="I223" s="66"/>
      <c r="J223" s="66">
        <v>0</v>
      </c>
      <c r="K223" s="232"/>
      <c r="L223" s="52"/>
      <c r="M223" s="52"/>
      <c r="N223" s="60"/>
    </row>
    <row r="224" spans="1:14" ht="21.75" customHeight="1" x14ac:dyDescent="0.55000000000000004">
      <c r="A224" s="54"/>
      <c r="B224" s="55"/>
      <c r="C224" s="55"/>
      <c r="D224" s="72"/>
      <c r="E224" s="76"/>
      <c r="F224" s="73" t="s">
        <v>98</v>
      </c>
      <c r="G224" s="75"/>
      <c r="H224" s="65" t="s">
        <v>97</v>
      </c>
      <c r="I224" s="66">
        <f ca="1">IFERROR(__xludf.DUMMYFUNCTION("IMPORTRANGE(""https://docs.google.com/spreadsheets/d/1C3CXT74ZlgGe6_JY_1olB1XN4rF0dxEuIIF-xsYjHgg/edit?usp=sharing"",""พรบ!BV66"")"),0)</f>
        <v>0</v>
      </c>
      <c r="J224" s="66">
        <v>0</v>
      </c>
      <c r="K224" s="232">
        <f ca="1">IF(I224&gt;0,J224*100/I224,0)</f>
        <v>0</v>
      </c>
      <c r="L224" s="52"/>
      <c r="M224" s="52"/>
      <c r="N224" s="60"/>
    </row>
    <row r="225" spans="1:14" ht="21.75" customHeight="1" x14ac:dyDescent="0.55000000000000004">
      <c r="A225" s="54"/>
      <c r="B225" s="55"/>
      <c r="C225" s="55"/>
      <c r="D225" s="72"/>
      <c r="E225" s="73" t="s">
        <v>35</v>
      </c>
      <c r="F225" s="74"/>
      <c r="G225" s="75"/>
      <c r="H225" s="65"/>
      <c r="I225" s="66"/>
      <c r="J225" s="66">
        <v>0</v>
      </c>
      <c r="K225" s="232"/>
      <c r="L225" s="52"/>
      <c r="M225" s="52"/>
      <c r="N225" s="60"/>
    </row>
    <row r="226" spans="1:14" ht="21.75" customHeight="1" x14ac:dyDescent="0.55000000000000004">
      <c r="A226" s="54"/>
      <c r="B226" s="55"/>
      <c r="C226" s="55"/>
      <c r="D226" s="80">
        <v>3</v>
      </c>
      <c r="E226" s="81" t="s">
        <v>36</v>
      </c>
      <c r="F226" s="82"/>
      <c r="G226" s="83"/>
      <c r="H226" s="65"/>
      <c r="I226" s="66"/>
      <c r="J226" s="356">
        <v>0</v>
      </c>
      <c r="K226" s="232"/>
      <c r="L226" s="52"/>
      <c r="M226" s="52"/>
      <c r="N226" s="60"/>
    </row>
    <row r="227" spans="1:14" ht="21.75" customHeight="1" x14ac:dyDescent="0.55000000000000004">
      <c r="A227" s="165" t="s">
        <v>99</v>
      </c>
      <c r="B227" s="166"/>
      <c r="C227" s="166"/>
      <c r="D227" s="167"/>
      <c r="E227" s="166"/>
      <c r="F227" s="166"/>
      <c r="G227" s="180"/>
      <c r="H227" s="169"/>
      <c r="I227" s="170"/>
      <c r="J227" s="170"/>
      <c r="K227" s="171"/>
      <c r="L227" s="171"/>
      <c r="M227" s="171"/>
      <c r="N227" s="172"/>
    </row>
    <row r="228" spans="1:14" ht="21.75" customHeight="1" x14ac:dyDescent="0.55000000000000004">
      <c r="A228" s="173"/>
      <c r="B228" s="174" t="s">
        <v>100</v>
      </c>
      <c r="C228" s="186"/>
      <c r="D228" s="174"/>
      <c r="E228" s="174"/>
      <c r="F228" s="174"/>
      <c r="G228" s="175"/>
      <c r="H228" s="176" t="s">
        <v>16</v>
      </c>
      <c r="I228" s="197">
        <f ca="1">I236</f>
        <v>0</v>
      </c>
      <c r="J228" s="197">
        <f ca="1">J240</f>
        <v>0</v>
      </c>
      <c r="K228" s="178">
        <f ca="1">IF(I228&gt;0,J228*100/I228,0)</f>
        <v>0</v>
      </c>
      <c r="L228" s="179">
        <f ca="1">L229+L230</f>
        <v>486110</v>
      </c>
      <c r="M228" s="179">
        <f>SUM(M229:M230)</f>
        <v>0</v>
      </c>
      <c r="N228" s="178">
        <f ca="1">IF(L228&gt;0,M228*100/L228,0)</f>
        <v>0</v>
      </c>
    </row>
    <row r="229" spans="1:14" ht="21.75" customHeight="1" x14ac:dyDescent="0.55000000000000004">
      <c r="A229" s="41"/>
      <c r="B229" s="42"/>
      <c r="C229" s="42" t="s">
        <v>17</v>
      </c>
      <c r="D229" s="43" t="s">
        <v>18</v>
      </c>
      <c r="E229" s="44"/>
      <c r="F229" s="44"/>
      <c r="G229" s="45" t="s">
        <v>19</v>
      </c>
      <c r="H229" s="46" t="s">
        <v>20</v>
      </c>
      <c r="I229" s="47" t="s">
        <v>21</v>
      </c>
      <c r="J229" s="47"/>
      <c r="K229" s="48"/>
      <c r="L229" s="49">
        <v>0</v>
      </c>
      <c r="M229" s="52">
        <v>0</v>
      </c>
      <c r="N229" s="52">
        <f t="shared" ref="N229:N232" si="50">+IF(L229&gt;0,M229*100/L229,0)</f>
        <v>0</v>
      </c>
    </row>
    <row r="230" spans="1:14" ht="21.75" customHeight="1" x14ac:dyDescent="0.55000000000000004">
      <c r="A230" s="41"/>
      <c r="B230" s="42"/>
      <c r="C230" s="42"/>
      <c r="D230" s="50"/>
      <c r="E230" s="44"/>
      <c r="F230" s="44" t="s">
        <v>21</v>
      </c>
      <c r="G230" s="45" t="s">
        <v>22</v>
      </c>
      <c r="H230" s="46" t="s">
        <v>20</v>
      </c>
      <c r="I230" s="47"/>
      <c r="J230" s="47"/>
      <c r="K230" s="48"/>
      <c r="L230" s="49">
        <f t="shared" ref="L230:M230" ca="1" si="51">SUM(L231:L232)</f>
        <v>486110</v>
      </c>
      <c r="M230" s="52">
        <f t="shared" si="51"/>
        <v>0</v>
      </c>
      <c r="N230" s="52">
        <f t="shared" ca="1" si="50"/>
        <v>0</v>
      </c>
    </row>
    <row r="231" spans="1:14" ht="21.75" customHeight="1" x14ac:dyDescent="0.55000000000000004">
      <c r="A231" s="41"/>
      <c r="B231" s="42"/>
      <c r="C231" s="42"/>
      <c r="D231" s="50"/>
      <c r="E231" s="44"/>
      <c r="F231" s="44"/>
      <c r="G231" s="51" t="s">
        <v>23</v>
      </c>
      <c r="H231" s="46" t="s">
        <v>20</v>
      </c>
      <c r="I231" s="47"/>
      <c r="J231" s="47"/>
      <c r="K231" s="48"/>
      <c r="L231" s="52">
        <f ca="1">IFERROR(__xludf.DUMMYFUNCTION("IMPORTRANGE(""https://docs.google.com/spreadsheets/d/1C3CXT74ZlgGe6_JY_1olB1XN4rF0dxEuIIF-xsYjHgg/edit?usp=sharing"",""พรบ!BX66"")"),306000)</f>
        <v>306000</v>
      </c>
      <c r="M231" s="53">
        <v>0</v>
      </c>
      <c r="N231" s="52">
        <f t="shared" ca="1" si="50"/>
        <v>0</v>
      </c>
    </row>
    <row r="232" spans="1:14" ht="21.75" customHeight="1" x14ac:dyDescent="0.55000000000000004">
      <c r="A232" s="41"/>
      <c r="B232" s="42"/>
      <c r="C232" s="42"/>
      <c r="D232" s="50"/>
      <c r="E232" s="44"/>
      <c r="F232" s="44"/>
      <c r="G232" s="51" t="s">
        <v>24</v>
      </c>
      <c r="H232" s="46" t="s">
        <v>20</v>
      </c>
      <c r="I232" s="47"/>
      <c r="J232" s="47"/>
      <c r="K232" s="48"/>
      <c r="L232" s="52">
        <f ca="1">IFERROR(__xludf.DUMMYFUNCTION("IMPORTRANGE(""https://docs.google.com/spreadsheets/d/1C3CXT74ZlgGe6_JY_1olB1XN4rF0dxEuIIF-xsYjHgg/edit?usp=sharing"",""พรบ!BY66"")"),180110)</f>
        <v>180110</v>
      </c>
      <c r="M232" s="53">
        <v>0</v>
      </c>
      <c r="N232" s="52">
        <f t="shared" ca="1" si="50"/>
        <v>0</v>
      </c>
    </row>
    <row r="233" spans="1:14" ht="21.75" customHeight="1" x14ac:dyDescent="0.55000000000000004">
      <c r="A233" s="54"/>
      <c r="B233" s="154"/>
      <c r="C233" s="198" t="s">
        <v>101</v>
      </c>
      <c r="D233" s="74"/>
      <c r="E233" s="74"/>
      <c r="F233" s="74"/>
      <c r="G233" s="75"/>
      <c r="H233" s="59"/>
      <c r="I233" s="199"/>
      <c r="J233" s="199"/>
      <c r="K233" s="200"/>
      <c r="L233" s="60"/>
      <c r="M233" s="60"/>
      <c r="N233" s="201"/>
    </row>
    <row r="234" spans="1:14" ht="21.75" customHeight="1" x14ac:dyDescent="0.55000000000000004">
      <c r="A234" s="54"/>
      <c r="B234" s="154"/>
      <c r="C234" s="55"/>
      <c r="D234" s="74"/>
      <c r="E234" s="73" t="s">
        <v>102</v>
      </c>
      <c r="F234" s="74"/>
      <c r="G234" s="75"/>
      <c r="H234" s="59" t="s">
        <v>16</v>
      </c>
      <c r="I234" s="66">
        <v>0</v>
      </c>
      <c r="J234" s="66">
        <f ca="1">IFERROR(__xludf.DUMMYFUNCTION("IMPORTRANGE(""https://docs.google.com/spreadsheets/d/1AGHcLOeeYFL3K4b9R1dSzyJy00PE_ra89DNTVfnxSWM/edit?usp=sharing"",""รวมที่ทำกิน!J55"")"),0)</f>
        <v>0</v>
      </c>
      <c r="K234" s="200">
        <f t="shared" ref="K234:K241" si="52">IF(I234&gt;0,J234*100/I234,0)</f>
        <v>0</v>
      </c>
      <c r="L234" s="60"/>
      <c r="M234" s="60"/>
      <c r="N234" s="201"/>
    </row>
    <row r="235" spans="1:14" ht="21.75" customHeight="1" x14ac:dyDescent="0.55000000000000004">
      <c r="A235" s="54"/>
      <c r="B235" s="154"/>
      <c r="C235" s="55"/>
      <c r="D235" s="74"/>
      <c r="E235" s="74"/>
      <c r="F235" s="74"/>
      <c r="G235" s="75"/>
      <c r="H235" s="59" t="s">
        <v>103</v>
      </c>
      <c r="I235" s="66">
        <f ca="1">IFERROR(__xludf.DUMMYFUNCTION("IMPORTRANGE(""https://docs.google.com/spreadsheets/d/1C3CXT74ZlgGe6_JY_1olB1XN4rF0dxEuIIF-xsYjHgg/edit?usp=sharing"",""พรบ!BZ66"")"),0)</f>
        <v>0</v>
      </c>
      <c r="J235" s="66">
        <f ca="1">IFERROR(__xludf.DUMMYFUNCTION("IMPORTRANGE(""https://docs.google.com/spreadsheets/d/1AGHcLOeeYFL3K4b9R1dSzyJy00PE_ra89DNTVfnxSWM/edit?usp=sharing"",""รวมที่ทำกิน!L55"")"),0)</f>
        <v>0</v>
      </c>
      <c r="K235" s="200">
        <f t="shared" ca="1" si="52"/>
        <v>0</v>
      </c>
      <c r="L235" s="60"/>
      <c r="M235" s="60"/>
      <c r="N235" s="201"/>
    </row>
    <row r="236" spans="1:14" ht="21.75" customHeight="1" x14ac:dyDescent="0.55000000000000004">
      <c r="A236" s="54"/>
      <c r="B236" s="154"/>
      <c r="C236" s="55"/>
      <c r="D236" s="74"/>
      <c r="E236" s="73" t="s">
        <v>104</v>
      </c>
      <c r="F236" s="74"/>
      <c r="G236" s="75"/>
      <c r="H236" s="59" t="s">
        <v>16</v>
      </c>
      <c r="I236" s="66">
        <f ca="1">IFERROR(__xludf.DUMMYFUNCTION("IMPORTRANGE(""https://docs.google.com/spreadsheets/d/1C3CXT74ZlgGe6_JY_1olB1XN4rF0dxEuIIF-xsYjHgg/edit?usp=sharing"",""พรบ!CA66"")"),0)</f>
        <v>0</v>
      </c>
      <c r="J236" s="66">
        <f ca="1">IFERROR(__xludf.DUMMYFUNCTION("IMPORTRANGE(""https://docs.google.com/spreadsheets/d/1AGHcLOeeYFL3K4b9R1dSzyJy00PE_ra89DNTVfnxSWM/edit?usp=sharing"",""รวมที่ทำกิน!O55"")"),0)</f>
        <v>0</v>
      </c>
      <c r="K236" s="200">
        <f t="shared" ca="1" si="52"/>
        <v>0</v>
      </c>
      <c r="L236" s="60"/>
      <c r="M236" s="60"/>
      <c r="N236" s="201"/>
    </row>
    <row r="237" spans="1:14" ht="21.75" customHeight="1" x14ac:dyDescent="0.55000000000000004">
      <c r="A237" s="54"/>
      <c r="B237" s="154"/>
      <c r="C237" s="55"/>
      <c r="D237" s="74"/>
      <c r="E237" s="74"/>
      <c r="F237" s="74"/>
      <c r="G237" s="75"/>
      <c r="H237" s="59" t="s">
        <v>103</v>
      </c>
      <c r="I237" s="199">
        <v>0</v>
      </c>
      <c r="J237" s="66">
        <f ca="1">IFERROR(__xludf.DUMMYFUNCTION("IMPORTRANGE(""https://docs.google.com/spreadsheets/d/1AGHcLOeeYFL3K4b9R1dSzyJy00PE_ra89DNTVfnxSWM/edit?usp=sharing"",""รวมที่ทำกิน!Q55"")"),0)</f>
        <v>0</v>
      </c>
      <c r="K237" s="200">
        <f t="shared" si="52"/>
        <v>0</v>
      </c>
      <c r="L237" s="60"/>
      <c r="M237" s="60"/>
      <c r="N237" s="201"/>
    </row>
    <row r="238" spans="1:14" ht="21.75" customHeight="1" x14ac:dyDescent="0.55000000000000004">
      <c r="A238" s="54"/>
      <c r="B238" s="154"/>
      <c r="C238" s="55"/>
      <c r="D238" s="74"/>
      <c r="E238" s="73" t="s">
        <v>105</v>
      </c>
      <c r="F238" s="74"/>
      <c r="G238" s="75"/>
      <c r="H238" s="59" t="s">
        <v>16</v>
      </c>
      <c r="I238" s="66">
        <f ca="1">IFERROR(__xludf.DUMMYFUNCTION("IMPORTRANGE(""https://docs.google.com/spreadsheets/d/1C3CXT74ZlgGe6_JY_1olB1XN4rF0dxEuIIF-xsYjHgg/edit?usp=sharing"",""พรบ!CB66"")"),0)</f>
        <v>0</v>
      </c>
      <c r="J238" s="66">
        <f ca="1">IFERROR(__xludf.DUMMYFUNCTION("IMPORTRANGE(""https://docs.google.com/spreadsheets/d/1AGHcLOeeYFL3K4b9R1dSzyJy00PE_ra89DNTVfnxSWM/edit?usp=sharing"",""รวมที่ทำกิน!S55"")"),0)</f>
        <v>0</v>
      </c>
      <c r="K238" s="200">
        <f t="shared" ca="1" si="52"/>
        <v>0</v>
      </c>
      <c r="L238" s="60"/>
      <c r="M238" s="60"/>
      <c r="N238" s="201"/>
    </row>
    <row r="239" spans="1:14" ht="21.75" customHeight="1" x14ac:dyDescent="0.55000000000000004">
      <c r="A239" s="54"/>
      <c r="B239" s="154"/>
      <c r="C239" s="55"/>
      <c r="D239" s="74"/>
      <c r="E239" s="74"/>
      <c r="F239" s="74"/>
      <c r="G239" s="75"/>
      <c r="H239" s="59" t="s">
        <v>103</v>
      </c>
      <c r="I239" s="199">
        <v>0</v>
      </c>
      <c r="J239" s="66">
        <f ca="1">IFERROR(__xludf.DUMMYFUNCTION("IMPORTRANGE(""https://docs.google.com/spreadsheets/d/1AGHcLOeeYFL3K4b9R1dSzyJy00PE_ra89DNTVfnxSWM/edit?usp=sharing"",""รวมที่ทำกิน!U55"")"),0)</f>
        <v>0</v>
      </c>
      <c r="K239" s="200">
        <f t="shared" si="52"/>
        <v>0</v>
      </c>
      <c r="L239" s="60"/>
      <c r="M239" s="60"/>
      <c r="N239" s="201"/>
    </row>
    <row r="240" spans="1:14" ht="21.75" customHeight="1" x14ac:dyDescent="0.55000000000000004">
      <c r="A240" s="54"/>
      <c r="B240" s="154"/>
      <c r="C240" s="55"/>
      <c r="D240" s="74"/>
      <c r="E240" s="73" t="s">
        <v>106</v>
      </c>
      <c r="F240" s="74"/>
      <c r="G240" s="75"/>
      <c r="H240" s="59" t="s">
        <v>16</v>
      </c>
      <c r="I240" s="66">
        <f ca="1">IFERROR(__xludf.DUMMYFUNCTION("IMPORTRANGE(""https://docs.google.com/spreadsheets/d/1C3CXT74ZlgGe6_JY_1olB1XN4rF0dxEuIIF-xsYjHgg/edit?usp=sharing"",""พรบ!CC66"")"),0)</f>
        <v>0</v>
      </c>
      <c r="J240" s="66">
        <f ca="1">IFERROR(__xludf.DUMMYFUNCTION("IMPORTRANGE(""https://docs.google.com/spreadsheets/d/1AGHcLOeeYFL3K4b9R1dSzyJy00PE_ra89DNTVfnxSWM/edit?usp=sharing"",""รวมที่ทำกิน!W55"")"),0)</f>
        <v>0</v>
      </c>
      <c r="K240" s="200">
        <f t="shared" ca="1" si="52"/>
        <v>0</v>
      </c>
      <c r="L240" s="60"/>
      <c r="M240" s="60"/>
      <c r="N240" s="201"/>
    </row>
    <row r="241" spans="1:14" ht="21.75" customHeight="1" x14ac:dyDescent="0.55000000000000004">
      <c r="A241" s="104"/>
      <c r="B241" s="202"/>
      <c r="C241" s="105"/>
      <c r="D241" s="202"/>
      <c r="E241" s="203"/>
      <c r="F241" s="203"/>
      <c r="G241" s="204"/>
      <c r="H241" s="205" t="s">
        <v>103</v>
      </c>
      <c r="I241" s="206">
        <v>0</v>
      </c>
      <c r="J241" s="66">
        <f ca="1">IFERROR(__xludf.DUMMYFUNCTION("IMPORTRANGE(""https://docs.google.com/spreadsheets/d/1AGHcLOeeYFL3K4b9R1dSzyJy00PE_ra89DNTVfnxSWM/edit?usp=sharing"",""รวมที่ทำกิน!Y55"")"),0)</f>
        <v>0</v>
      </c>
      <c r="K241" s="363">
        <f t="shared" si="52"/>
        <v>0</v>
      </c>
      <c r="L241" s="114"/>
      <c r="M241" s="114"/>
      <c r="N241" s="207"/>
    </row>
    <row r="242" spans="1:14" ht="21.75" customHeight="1" x14ac:dyDescent="0.55000000000000004">
      <c r="A242" s="208" t="s">
        <v>107</v>
      </c>
      <c r="B242" s="209"/>
      <c r="C242" s="209"/>
      <c r="D242" s="209"/>
      <c r="E242" s="209"/>
      <c r="F242" s="209"/>
      <c r="G242" s="210"/>
      <c r="H242" s="211"/>
      <c r="I242" s="212"/>
      <c r="J242" s="212"/>
      <c r="K242" s="213"/>
      <c r="L242" s="213">
        <f t="shared" ref="L242:M242" ca="1" si="53">SUM(L244,L275,L296,L330,L350,L426,L444,L457,L473,L490)</f>
        <v>354600</v>
      </c>
      <c r="M242" s="213">
        <f t="shared" si="53"/>
        <v>25660</v>
      </c>
      <c r="N242" s="213">
        <f ca="1">+IF(L242&gt;0,M242*100/L242,0)</f>
        <v>7.2363226170332773</v>
      </c>
    </row>
    <row r="243" spans="1:14" ht="21.75" customHeight="1" x14ac:dyDescent="0.55000000000000004">
      <c r="A243" s="214" t="s">
        <v>108</v>
      </c>
      <c r="B243" s="215"/>
      <c r="C243" s="215"/>
      <c r="D243" s="215"/>
      <c r="E243" s="215"/>
      <c r="F243" s="215"/>
      <c r="G243" s="216"/>
      <c r="H243" s="217"/>
      <c r="I243" s="218"/>
      <c r="J243" s="218"/>
      <c r="K243" s="219"/>
      <c r="L243" s="219"/>
      <c r="M243" s="219"/>
      <c r="N243" s="220"/>
    </row>
    <row r="244" spans="1:14" ht="21.75" customHeight="1" x14ac:dyDescent="0.55000000000000004">
      <c r="A244" s="221"/>
      <c r="B244" s="222">
        <v>1</v>
      </c>
      <c r="C244" s="223" t="s">
        <v>109</v>
      </c>
      <c r="D244" s="223"/>
      <c r="E244" s="223"/>
      <c r="F244" s="223"/>
      <c r="G244" s="224"/>
      <c r="H244" s="225" t="s">
        <v>103</v>
      </c>
      <c r="I244" s="226">
        <f t="shared" ref="I244:I245" ca="1" si="54">I262</f>
        <v>0</v>
      </c>
      <c r="J244" s="226">
        <f>J270</f>
        <v>0</v>
      </c>
      <c r="K244" s="227">
        <f t="shared" ref="K244:K245" ca="1" si="55">IF(I244&gt;0,J244*100/I244,0)</f>
        <v>0</v>
      </c>
      <c r="L244" s="228">
        <f t="shared" ref="L244:M244" ca="1" si="56">SUM(L246:L247)</f>
        <v>0</v>
      </c>
      <c r="M244" s="228">
        <f t="shared" si="56"/>
        <v>0</v>
      </c>
      <c r="N244" s="228">
        <f ca="1">+IF(L244&gt;0,M244*100/L244,0)</f>
        <v>0</v>
      </c>
    </row>
    <row r="245" spans="1:14" ht="21.75" customHeight="1" x14ac:dyDescent="0.55000000000000004">
      <c r="A245" s="221"/>
      <c r="B245" s="222"/>
      <c r="C245" s="223"/>
      <c r="D245" s="223"/>
      <c r="E245" s="223"/>
      <c r="F245" s="223"/>
      <c r="G245" s="224"/>
      <c r="H245" s="225" t="s">
        <v>16</v>
      </c>
      <c r="I245" s="226">
        <f t="shared" ca="1" si="54"/>
        <v>0</v>
      </c>
      <c r="J245" s="226">
        <f>J263</f>
        <v>0</v>
      </c>
      <c r="K245" s="227">
        <f t="shared" ca="1" si="55"/>
        <v>0</v>
      </c>
      <c r="L245" s="228"/>
      <c r="M245" s="228"/>
      <c r="N245" s="228"/>
    </row>
    <row r="246" spans="1:14" ht="21.75" customHeight="1" x14ac:dyDescent="0.55000000000000004">
      <c r="A246" s="41"/>
      <c r="B246" s="42"/>
      <c r="C246" s="42" t="s">
        <v>17</v>
      </c>
      <c r="D246" s="43" t="s">
        <v>18</v>
      </c>
      <c r="E246" s="44"/>
      <c r="F246" s="44"/>
      <c r="G246" s="45" t="s">
        <v>19</v>
      </c>
      <c r="H246" s="46" t="s">
        <v>20</v>
      </c>
      <c r="I246" s="47" t="s">
        <v>21</v>
      </c>
      <c r="J246" s="47"/>
      <c r="K246" s="48"/>
      <c r="L246" s="49">
        <v>0</v>
      </c>
      <c r="M246" s="49">
        <v>0</v>
      </c>
      <c r="N246" s="49">
        <f t="shared" ref="N246:N249" si="57">+IF(L246&gt;0,M246*100/L246,0)</f>
        <v>0</v>
      </c>
    </row>
    <row r="247" spans="1:14" ht="21.75" customHeight="1" x14ac:dyDescent="0.55000000000000004">
      <c r="A247" s="41"/>
      <c r="B247" s="42"/>
      <c r="C247" s="42"/>
      <c r="D247" s="50"/>
      <c r="E247" s="44"/>
      <c r="F247" s="44" t="s">
        <v>21</v>
      </c>
      <c r="G247" s="45" t="s">
        <v>22</v>
      </c>
      <c r="H247" s="46" t="s">
        <v>20</v>
      </c>
      <c r="I247" s="47"/>
      <c r="J247" s="47"/>
      <c r="K247" s="48"/>
      <c r="L247" s="49">
        <f t="shared" ref="L247:M247" ca="1" si="58">SUM(L248:L249)</f>
        <v>0</v>
      </c>
      <c r="M247" s="49">
        <f t="shared" si="58"/>
        <v>0</v>
      </c>
      <c r="N247" s="49">
        <f t="shared" ca="1" si="57"/>
        <v>0</v>
      </c>
    </row>
    <row r="248" spans="1:14" ht="21.75" customHeight="1" x14ac:dyDescent="0.55000000000000004">
      <c r="A248" s="41"/>
      <c r="B248" s="42"/>
      <c r="C248" s="42"/>
      <c r="D248" s="50"/>
      <c r="E248" s="44"/>
      <c r="F248" s="44"/>
      <c r="G248" s="51" t="s">
        <v>110</v>
      </c>
      <c r="H248" s="46" t="s">
        <v>20</v>
      </c>
      <c r="I248" s="47"/>
      <c r="J248" s="47"/>
      <c r="K248" s="48"/>
      <c r="L248" s="52">
        <f ca="1">IFERROR(__xludf.DUMMYFUNCTION("IMPORTRANGE(""https://docs.google.com/spreadsheets/d/1C3CXT74ZlgGe6_JY_1olB1XN4rF0dxEuIIF-xsYjHgg/edit?usp=sharing"",""งบกองทุน!d66"")"),0)</f>
        <v>0</v>
      </c>
      <c r="M248" s="52">
        <v>0</v>
      </c>
      <c r="N248" s="52">
        <f t="shared" ca="1" si="57"/>
        <v>0</v>
      </c>
    </row>
    <row r="249" spans="1:14" ht="21.75" customHeight="1" x14ac:dyDescent="0.55000000000000004">
      <c r="A249" s="41"/>
      <c r="B249" s="42"/>
      <c r="C249" s="42"/>
      <c r="D249" s="50"/>
      <c r="E249" s="44"/>
      <c r="F249" s="44"/>
      <c r="G249" s="51" t="s">
        <v>111</v>
      </c>
      <c r="H249" s="46" t="s">
        <v>20</v>
      </c>
      <c r="I249" s="47"/>
      <c r="J249" s="47"/>
      <c r="K249" s="48"/>
      <c r="L249" s="52">
        <f ca="1">IFERROR(__xludf.DUMMYFUNCTION("IMPORTRANGE(""https://docs.google.com/spreadsheets/d/1C3CXT74ZlgGe6_JY_1olB1XN4rF0dxEuIIF-xsYjHgg/edit?usp=sharing"",""งบกองทุน!e66"")"),0)</f>
        <v>0</v>
      </c>
      <c r="M249" s="52">
        <f>SUM(M250:M253)</f>
        <v>0</v>
      </c>
      <c r="N249" s="52">
        <f t="shared" ca="1" si="57"/>
        <v>0</v>
      </c>
    </row>
    <row r="250" spans="1:14" ht="21.75" customHeight="1" x14ac:dyDescent="0.55000000000000004">
      <c r="A250" s="229"/>
      <c r="B250" s="230"/>
      <c r="C250" s="42"/>
      <c r="D250" s="231"/>
      <c r="E250" s="44"/>
      <c r="F250" s="44"/>
      <c r="G250" s="45" t="s">
        <v>112</v>
      </c>
      <c r="H250" s="46" t="s">
        <v>20</v>
      </c>
      <c r="I250" s="66"/>
      <c r="J250" s="66"/>
      <c r="K250" s="232"/>
      <c r="L250" s="52"/>
      <c r="M250" s="52">
        <v>0</v>
      </c>
      <c r="N250" s="52"/>
    </row>
    <row r="251" spans="1:14" ht="21.75" customHeight="1" x14ac:dyDescent="0.55000000000000004">
      <c r="A251" s="229"/>
      <c r="B251" s="230"/>
      <c r="C251" s="42"/>
      <c r="D251" s="231"/>
      <c r="E251" s="44"/>
      <c r="F251" s="44"/>
      <c r="G251" s="45" t="s">
        <v>113</v>
      </c>
      <c r="H251" s="46" t="s">
        <v>20</v>
      </c>
      <c r="I251" s="66"/>
      <c r="J251" s="66"/>
      <c r="K251" s="232"/>
      <c r="L251" s="52"/>
      <c r="M251" s="52">
        <v>0</v>
      </c>
      <c r="N251" s="52"/>
    </row>
    <row r="252" spans="1:14" ht="21.75" customHeight="1" x14ac:dyDescent="0.55000000000000004">
      <c r="A252" s="229"/>
      <c r="B252" s="230"/>
      <c r="C252" s="42"/>
      <c r="D252" s="231"/>
      <c r="E252" s="44"/>
      <c r="F252" s="44"/>
      <c r="G252" s="45" t="s">
        <v>114</v>
      </c>
      <c r="H252" s="46" t="s">
        <v>20</v>
      </c>
      <c r="I252" s="66"/>
      <c r="J252" s="66"/>
      <c r="K252" s="232"/>
      <c r="L252" s="52"/>
      <c r="M252" s="52">
        <v>0</v>
      </c>
      <c r="N252" s="52"/>
    </row>
    <row r="253" spans="1:14" ht="21.75" customHeight="1" x14ac:dyDescent="0.55000000000000004">
      <c r="A253" s="229"/>
      <c r="B253" s="230"/>
      <c r="C253" s="42"/>
      <c r="D253" s="231"/>
      <c r="E253" s="44"/>
      <c r="F253" s="44"/>
      <c r="G253" s="45" t="s">
        <v>115</v>
      </c>
      <c r="H253" s="46" t="s">
        <v>20</v>
      </c>
      <c r="I253" s="66"/>
      <c r="J253" s="66"/>
      <c r="K253" s="232"/>
      <c r="L253" s="52"/>
      <c r="M253" s="52">
        <v>0</v>
      </c>
      <c r="N253" s="52"/>
    </row>
    <row r="254" spans="1:14" ht="21.75" customHeight="1" x14ac:dyDescent="0.55000000000000004">
      <c r="A254" s="54"/>
      <c r="B254" s="55"/>
      <c r="C254" s="42" t="s">
        <v>17</v>
      </c>
      <c r="D254" s="56" t="s">
        <v>25</v>
      </c>
      <c r="E254" s="57"/>
      <c r="F254" s="57"/>
      <c r="G254" s="58"/>
      <c r="H254" s="59"/>
      <c r="I254" s="47"/>
      <c r="J254" s="66"/>
      <c r="K254" s="232"/>
      <c r="L254" s="52"/>
      <c r="M254" s="52"/>
      <c r="N254" s="60"/>
    </row>
    <row r="255" spans="1:14" ht="21.75" customHeight="1" x14ac:dyDescent="0.55000000000000004">
      <c r="A255" s="54"/>
      <c r="B255" s="55"/>
      <c r="C255" s="55"/>
      <c r="D255" s="61">
        <v>1</v>
      </c>
      <c r="E255" s="62" t="s">
        <v>26</v>
      </c>
      <c r="F255" s="63"/>
      <c r="G255" s="64"/>
      <c r="H255" s="65"/>
      <c r="I255" s="66"/>
      <c r="J255" s="66">
        <v>0</v>
      </c>
      <c r="K255" s="232"/>
      <c r="L255" s="52"/>
      <c r="M255" s="52"/>
      <c r="N255" s="60"/>
    </row>
    <row r="256" spans="1:14" ht="21.75" customHeight="1" x14ac:dyDescent="0.55000000000000004">
      <c r="A256" s="54"/>
      <c r="B256" s="55"/>
      <c r="C256" s="55"/>
      <c r="D256" s="68">
        <v>2</v>
      </c>
      <c r="E256" s="69" t="s">
        <v>27</v>
      </c>
      <c r="F256" s="70"/>
      <c r="G256" s="71"/>
      <c r="H256" s="65"/>
      <c r="I256" s="66"/>
      <c r="J256" s="66">
        <v>0</v>
      </c>
      <c r="K256" s="232"/>
      <c r="L256" s="52" t="s">
        <v>21</v>
      </c>
      <c r="M256" s="52" t="s">
        <v>21</v>
      </c>
      <c r="N256" s="60"/>
    </row>
    <row r="257" spans="1:14" ht="21.75" customHeight="1" x14ac:dyDescent="0.55000000000000004">
      <c r="A257" s="54"/>
      <c r="B257" s="55"/>
      <c r="C257" s="55"/>
      <c r="D257" s="72"/>
      <c r="E257" s="73" t="s">
        <v>28</v>
      </c>
      <c r="F257" s="74"/>
      <c r="G257" s="75"/>
      <c r="H257" s="65"/>
      <c r="I257" s="66"/>
      <c r="J257" s="66">
        <v>0</v>
      </c>
      <c r="K257" s="232"/>
      <c r="L257" s="52"/>
      <c r="M257" s="52"/>
      <c r="N257" s="60"/>
    </row>
    <row r="258" spans="1:14" ht="21.75" customHeight="1" x14ac:dyDescent="0.55000000000000004">
      <c r="A258" s="54"/>
      <c r="B258" s="55"/>
      <c r="C258" s="55"/>
      <c r="D258" s="72"/>
      <c r="E258" s="73" t="s">
        <v>29</v>
      </c>
      <c r="F258" s="74"/>
      <c r="G258" s="75"/>
      <c r="H258" s="65"/>
      <c r="I258" s="66"/>
      <c r="J258" s="66">
        <v>0</v>
      </c>
      <c r="K258" s="232"/>
      <c r="L258" s="52"/>
      <c r="M258" s="52"/>
      <c r="N258" s="60"/>
    </row>
    <row r="259" spans="1:14" ht="21.75" hidden="1" customHeight="1" x14ac:dyDescent="0.55000000000000004">
      <c r="A259" s="54"/>
      <c r="B259" s="55"/>
      <c r="C259" s="55"/>
      <c r="D259" s="72"/>
      <c r="E259" s="76"/>
      <c r="F259" s="73" t="s">
        <v>50</v>
      </c>
      <c r="G259" s="75"/>
      <c r="H259" s="59"/>
      <c r="I259" s="66"/>
      <c r="J259" s="66">
        <f>+J260+J263+J268</f>
        <v>0</v>
      </c>
      <c r="K259" s="232"/>
      <c r="L259" s="52"/>
      <c r="M259" s="52"/>
      <c r="N259" s="60"/>
    </row>
    <row r="260" spans="1:14" ht="21.75" hidden="1" customHeight="1" x14ac:dyDescent="0.55000000000000004">
      <c r="A260" s="54"/>
      <c r="B260" s="55"/>
      <c r="C260" s="55"/>
      <c r="D260" s="72"/>
      <c r="E260" s="76"/>
      <c r="F260" s="74"/>
      <c r="G260" s="98" t="s">
        <v>116</v>
      </c>
      <c r="H260" s="59" t="s">
        <v>16</v>
      </c>
      <c r="I260" s="66">
        <f ca="1">IFERROR(__xludf.DUMMYFUNCTION("IMPORTRANGE(""https://docs.google.com/spreadsheets/d/1C3CXT74ZlgGe6_JY_1olB1XN4rF0dxEuIIF-xsYjHgg/edit?usp=sharing"",""งบกองทุน!f66"")"),0)</f>
        <v>0</v>
      </c>
      <c r="J260" s="66">
        <v>0</v>
      </c>
      <c r="K260" s="232">
        <f ca="1">IF(I260&gt;0,J260*100/I260,0)</f>
        <v>0</v>
      </c>
      <c r="L260" s="52"/>
      <c r="M260" s="52"/>
      <c r="N260" s="60"/>
    </row>
    <row r="261" spans="1:14" ht="21.75" hidden="1" customHeight="1" x14ac:dyDescent="0.55000000000000004">
      <c r="A261" s="54"/>
      <c r="B261" s="55"/>
      <c r="C261" s="55"/>
      <c r="D261" s="72"/>
      <c r="E261" s="76"/>
      <c r="F261" s="74"/>
      <c r="G261" s="75" t="s">
        <v>117</v>
      </c>
      <c r="H261" s="59"/>
      <c r="I261" s="47"/>
      <c r="J261" s="66"/>
      <c r="K261" s="232"/>
      <c r="L261" s="52"/>
      <c r="M261" s="52"/>
      <c r="N261" s="60"/>
    </row>
    <row r="262" spans="1:14" ht="21.75" hidden="1" customHeight="1" x14ac:dyDescent="0.55000000000000004">
      <c r="A262" s="54"/>
      <c r="B262" s="55"/>
      <c r="C262" s="55"/>
      <c r="D262" s="72"/>
      <c r="E262" s="76"/>
      <c r="F262" s="74"/>
      <c r="G262" s="98" t="s">
        <v>118</v>
      </c>
      <c r="H262" s="65" t="s">
        <v>103</v>
      </c>
      <c r="I262" s="66">
        <f t="shared" ref="I262:J262" ca="1" si="59">SUM(I264,I266)</f>
        <v>0</v>
      </c>
      <c r="J262" s="66">
        <f t="shared" si="59"/>
        <v>0</v>
      </c>
      <c r="K262" s="232">
        <f t="shared" ref="K262:K268" ca="1" si="60">IF(I262&gt;0,J262*100/I262,0)</f>
        <v>0</v>
      </c>
      <c r="L262" s="52"/>
      <c r="M262" s="52"/>
      <c r="N262" s="60"/>
    </row>
    <row r="263" spans="1:14" ht="21.75" customHeight="1" x14ac:dyDescent="0.55000000000000004">
      <c r="A263" s="54"/>
      <c r="B263" s="55"/>
      <c r="C263" s="55"/>
      <c r="D263" s="72"/>
      <c r="E263" s="76"/>
      <c r="F263" s="233" t="s">
        <v>119</v>
      </c>
      <c r="G263" s="314"/>
      <c r="H263" s="65" t="s">
        <v>16</v>
      </c>
      <c r="I263" s="47">
        <f ca="1">IFERROR(__xludf.DUMMYFUNCTION("IMPORTRANGE(""https://docs.google.com/spreadsheets/d/1C3CXT74ZlgGe6_JY_1olB1XN4rF0dxEuIIF-xsYjHgg/edit?usp=sharing"",""งบกองทุน!H66"")"),0)</f>
        <v>0</v>
      </c>
      <c r="J263" s="66">
        <f>J267</f>
        <v>0</v>
      </c>
      <c r="K263" s="232">
        <f t="shared" ca="1" si="60"/>
        <v>0</v>
      </c>
      <c r="L263" s="52"/>
      <c r="M263" s="52"/>
      <c r="N263" s="60"/>
    </row>
    <row r="264" spans="1:14" ht="21.75" hidden="1" customHeight="1" x14ac:dyDescent="0.55000000000000004">
      <c r="A264" s="54"/>
      <c r="B264" s="55"/>
      <c r="C264" s="55"/>
      <c r="D264" s="72"/>
      <c r="E264" s="76"/>
      <c r="F264" s="74"/>
      <c r="G264" s="314"/>
      <c r="H264" s="59" t="s">
        <v>103</v>
      </c>
      <c r="I264" s="47">
        <f ca="1">IFERROR(__xludf.DUMMYFUNCTION("IMPORTRANGE(""https://docs.google.com/spreadsheets/d/1C3CXT74ZlgGe6_JY_1olB1XN4rF0dxEuIIF-xsYjHgg/edit?usp=sharing"",""งบกองทุน!i66"")"),0)</f>
        <v>0</v>
      </c>
      <c r="J264" s="66">
        <v>0</v>
      </c>
      <c r="K264" s="232">
        <f t="shared" ca="1" si="60"/>
        <v>0</v>
      </c>
      <c r="L264" s="52"/>
      <c r="M264" s="52"/>
      <c r="N264" s="60"/>
    </row>
    <row r="265" spans="1:14" ht="21.75" customHeight="1" x14ac:dyDescent="0.55000000000000004">
      <c r="A265" s="54"/>
      <c r="B265" s="55"/>
      <c r="C265" s="55"/>
      <c r="D265" s="72"/>
      <c r="E265" s="76"/>
      <c r="F265" s="74"/>
      <c r="G265" s="233" t="s">
        <v>120</v>
      </c>
      <c r="H265" s="59" t="s">
        <v>16</v>
      </c>
      <c r="I265" s="47">
        <f ca="1">I263</f>
        <v>0</v>
      </c>
      <c r="J265" s="66">
        <v>0</v>
      </c>
      <c r="K265" s="232">
        <f t="shared" ca="1" si="60"/>
        <v>0</v>
      </c>
      <c r="L265" s="52"/>
      <c r="M265" s="52"/>
      <c r="N265" s="60"/>
    </row>
    <row r="266" spans="1:14" ht="21.75" hidden="1" customHeight="1" x14ac:dyDescent="0.55000000000000004">
      <c r="A266" s="54"/>
      <c r="B266" s="55"/>
      <c r="C266" s="55"/>
      <c r="D266" s="72"/>
      <c r="E266" s="76"/>
      <c r="F266" s="74"/>
      <c r="G266" s="314"/>
      <c r="H266" s="59" t="s">
        <v>103</v>
      </c>
      <c r="I266" s="47">
        <f ca="1">IFERROR(__xludf.DUMMYFUNCTION("IMPORTRANGE(""https://docs.google.com/spreadsheets/d/1C3CXT74ZlgGe6_JY_1olB1XN4rF0dxEuIIF-xsYjHgg/edit?usp=sharing"",""งบกองทุน!k66"")"),0)</f>
        <v>0</v>
      </c>
      <c r="J266" s="66">
        <v>0</v>
      </c>
      <c r="K266" s="232">
        <f t="shared" ca="1" si="60"/>
        <v>0</v>
      </c>
      <c r="L266" s="52"/>
      <c r="M266" s="52"/>
      <c r="N266" s="60"/>
    </row>
    <row r="267" spans="1:14" ht="21.75" customHeight="1" x14ac:dyDescent="0.55000000000000004">
      <c r="A267" s="54"/>
      <c r="B267" s="55"/>
      <c r="C267" s="55"/>
      <c r="D267" s="72"/>
      <c r="E267" s="76"/>
      <c r="F267" s="74"/>
      <c r="G267" s="233" t="s">
        <v>121</v>
      </c>
      <c r="H267" s="59" t="s">
        <v>16</v>
      </c>
      <c r="I267" s="47">
        <f ca="1">I263</f>
        <v>0</v>
      </c>
      <c r="J267" s="66">
        <v>0</v>
      </c>
      <c r="K267" s="232">
        <f t="shared" ca="1" si="60"/>
        <v>0</v>
      </c>
      <c r="L267" s="52"/>
      <c r="M267" s="52"/>
      <c r="N267" s="60"/>
    </row>
    <row r="268" spans="1:14" ht="21.75" hidden="1" customHeight="1" x14ac:dyDescent="0.55000000000000004">
      <c r="A268" s="54"/>
      <c r="B268" s="55"/>
      <c r="C268" s="55"/>
      <c r="D268" s="72"/>
      <c r="E268" s="76"/>
      <c r="F268" s="74"/>
      <c r="G268" s="98" t="s">
        <v>122</v>
      </c>
      <c r="H268" s="59" t="s">
        <v>16</v>
      </c>
      <c r="I268" s="66">
        <f ca="1">IFERROR(__xludf.DUMMYFUNCTION("IMPORTRANGE(""https://docs.google.com/spreadsheets/d/1C3CXT74ZlgGe6_JY_1olB1XN4rF0dxEuIIF-xsYjHgg/edit?usp=sharing"",""งบกองทุน!m66"")"),0)</f>
        <v>0</v>
      </c>
      <c r="J268" s="66">
        <v>0</v>
      </c>
      <c r="K268" s="232">
        <f t="shared" ca="1" si="60"/>
        <v>0</v>
      </c>
      <c r="L268" s="52"/>
      <c r="M268" s="52"/>
      <c r="N268" s="60"/>
    </row>
    <row r="269" spans="1:14" ht="21.75" hidden="1" customHeight="1" x14ac:dyDescent="0.55000000000000004">
      <c r="A269" s="54"/>
      <c r="B269" s="55"/>
      <c r="C269" s="55"/>
      <c r="D269" s="72"/>
      <c r="E269" s="76"/>
      <c r="F269" s="74"/>
      <c r="G269" s="75" t="s">
        <v>123</v>
      </c>
      <c r="H269" s="59"/>
      <c r="I269" s="66"/>
      <c r="J269" s="66"/>
      <c r="K269" s="232"/>
      <c r="L269" s="52"/>
      <c r="M269" s="52"/>
      <c r="N269" s="60"/>
    </row>
    <row r="270" spans="1:14" ht="21.75" customHeight="1" x14ac:dyDescent="0.55000000000000004">
      <c r="A270" s="54"/>
      <c r="B270" s="55"/>
      <c r="C270" s="55"/>
      <c r="D270" s="72"/>
      <c r="E270" s="74"/>
      <c r="F270" s="73" t="s">
        <v>34</v>
      </c>
      <c r="G270" s="75"/>
      <c r="H270" s="65" t="s">
        <v>103</v>
      </c>
      <c r="I270" s="66">
        <f t="shared" ref="I270:J270" ca="1" si="61">SUM(I271:I272)</f>
        <v>0</v>
      </c>
      <c r="J270" s="66">
        <f t="shared" si="61"/>
        <v>0</v>
      </c>
      <c r="K270" s="232">
        <f t="shared" ref="K270:K272" ca="1" si="62">IF(I270&gt;0,J270*100/I270,0)</f>
        <v>0</v>
      </c>
      <c r="L270" s="52"/>
      <c r="M270" s="52"/>
      <c r="N270" s="60"/>
    </row>
    <row r="271" spans="1:14" ht="21.75" customHeight="1" x14ac:dyDescent="0.55000000000000004">
      <c r="A271" s="54"/>
      <c r="B271" s="55"/>
      <c r="C271" s="55"/>
      <c r="D271" s="72"/>
      <c r="E271" s="74"/>
      <c r="F271" s="74"/>
      <c r="G271" s="75" t="s">
        <v>124</v>
      </c>
      <c r="H271" s="65" t="s">
        <v>103</v>
      </c>
      <c r="I271" s="66">
        <f ca="1">IFERROR(__xludf.DUMMYFUNCTION("IMPORTRANGE(""https://docs.google.com/spreadsheets/d/1C3CXT74ZlgGe6_JY_1olB1XN4rF0dxEuIIF-xsYjHgg/edit?usp=sharing"",""งบกองทุน!o66"")"),0)</f>
        <v>0</v>
      </c>
      <c r="J271" s="66">
        <v>0</v>
      </c>
      <c r="K271" s="232">
        <f t="shared" ca="1" si="62"/>
        <v>0</v>
      </c>
      <c r="L271" s="52"/>
      <c r="M271" s="52"/>
      <c r="N271" s="60"/>
    </row>
    <row r="272" spans="1:14" ht="21.75" customHeight="1" x14ac:dyDescent="0.55000000000000004">
      <c r="A272" s="54"/>
      <c r="B272" s="55"/>
      <c r="C272" s="55"/>
      <c r="D272" s="72"/>
      <c r="E272" s="74"/>
      <c r="F272" s="74"/>
      <c r="G272" s="75" t="s">
        <v>125</v>
      </c>
      <c r="H272" s="65" t="s">
        <v>103</v>
      </c>
      <c r="I272" s="66">
        <f ca="1">IFERROR(__xludf.DUMMYFUNCTION("IMPORTRANGE(""https://docs.google.com/spreadsheets/d/1C3CXT74ZlgGe6_JY_1olB1XN4rF0dxEuIIF-xsYjHgg/edit?usp=sharing"",""งบกองทุน!p66"")"),0)</f>
        <v>0</v>
      </c>
      <c r="J272" s="66">
        <v>0</v>
      </c>
      <c r="K272" s="232">
        <f t="shared" ca="1" si="62"/>
        <v>0</v>
      </c>
      <c r="L272" s="52"/>
      <c r="M272" s="52"/>
      <c r="N272" s="60"/>
    </row>
    <row r="273" spans="1:14" ht="21.75" customHeight="1" x14ac:dyDescent="0.55000000000000004">
      <c r="A273" s="54"/>
      <c r="B273" s="55"/>
      <c r="C273" s="55"/>
      <c r="D273" s="72"/>
      <c r="E273" s="73" t="s">
        <v>35</v>
      </c>
      <c r="F273" s="74"/>
      <c r="G273" s="75"/>
      <c r="H273" s="65"/>
      <c r="I273" s="66"/>
      <c r="J273" s="66">
        <v>0</v>
      </c>
      <c r="K273" s="232"/>
      <c r="L273" s="52"/>
      <c r="M273" s="52"/>
      <c r="N273" s="60"/>
    </row>
    <row r="274" spans="1:14" ht="21.75" customHeight="1" x14ac:dyDescent="0.55000000000000004">
      <c r="A274" s="54"/>
      <c r="B274" s="55"/>
      <c r="C274" s="55"/>
      <c r="D274" s="80">
        <v>3</v>
      </c>
      <c r="E274" s="81" t="s">
        <v>36</v>
      </c>
      <c r="F274" s="82"/>
      <c r="G274" s="83"/>
      <c r="H274" s="65"/>
      <c r="I274" s="66"/>
      <c r="J274" s="356">
        <v>0</v>
      </c>
      <c r="K274" s="232"/>
      <c r="L274" s="52"/>
      <c r="M274" s="52"/>
      <c r="N274" s="60"/>
    </row>
    <row r="275" spans="1:14" ht="21.75" customHeight="1" x14ac:dyDescent="0.55000000000000004">
      <c r="A275" s="221"/>
      <c r="B275" s="222">
        <v>2</v>
      </c>
      <c r="C275" s="223" t="s">
        <v>126</v>
      </c>
      <c r="D275" s="223"/>
      <c r="E275" s="234"/>
      <c r="F275" s="234"/>
      <c r="G275" s="235"/>
      <c r="H275" s="225" t="s">
        <v>103</v>
      </c>
      <c r="I275" s="226">
        <f ca="1">I292</f>
        <v>0</v>
      </c>
      <c r="J275" s="226">
        <f>+J292</f>
        <v>0</v>
      </c>
      <c r="K275" s="227">
        <f t="shared" ref="K275:K276" ca="1" si="63">IF(I275&gt;0,J275*100/I275,0)</f>
        <v>0</v>
      </c>
      <c r="L275" s="228">
        <f t="shared" ref="L275:M275" ca="1" si="64">SUM(L277:L278)</f>
        <v>0</v>
      </c>
      <c r="M275" s="228">
        <f t="shared" si="64"/>
        <v>0</v>
      </c>
      <c r="N275" s="228">
        <f ca="1">+IF(L275&gt;0,M275*100/L275,0)</f>
        <v>0</v>
      </c>
    </row>
    <row r="276" spans="1:14" ht="21.75" customHeight="1" x14ac:dyDescent="0.55000000000000004">
      <c r="A276" s="221"/>
      <c r="B276" s="222"/>
      <c r="C276" s="223"/>
      <c r="D276" s="236"/>
      <c r="E276" s="237"/>
      <c r="F276" s="237"/>
      <c r="G276" s="238"/>
      <c r="H276" s="225" t="s">
        <v>16</v>
      </c>
      <c r="I276" s="226">
        <f ca="1">I291</f>
        <v>0</v>
      </c>
      <c r="J276" s="226">
        <f>+J291</f>
        <v>0</v>
      </c>
      <c r="K276" s="227">
        <f t="shared" ca="1" si="63"/>
        <v>0</v>
      </c>
      <c r="L276" s="228"/>
      <c r="M276" s="228"/>
      <c r="N276" s="228"/>
    </row>
    <row r="277" spans="1:14" ht="21.75" customHeight="1" x14ac:dyDescent="0.55000000000000004">
      <c r="A277" s="41"/>
      <c r="B277" s="42"/>
      <c r="C277" s="42" t="s">
        <v>17</v>
      </c>
      <c r="D277" s="43" t="s">
        <v>18</v>
      </c>
      <c r="E277" s="44"/>
      <c r="F277" s="44"/>
      <c r="G277" s="45" t="s">
        <v>19</v>
      </c>
      <c r="H277" s="46" t="s">
        <v>20</v>
      </c>
      <c r="I277" s="47" t="s">
        <v>21</v>
      </c>
      <c r="J277" s="47"/>
      <c r="K277" s="48"/>
      <c r="L277" s="49">
        <v>0</v>
      </c>
      <c r="M277" s="49">
        <v>0</v>
      </c>
      <c r="N277" s="49">
        <f t="shared" ref="N277:N280" si="65">+IF(L277&gt;0,M277*100/L277,0)</f>
        <v>0</v>
      </c>
    </row>
    <row r="278" spans="1:14" ht="21.75" customHeight="1" x14ac:dyDescent="0.55000000000000004">
      <c r="A278" s="41"/>
      <c r="B278" s="42"/>
      <c r="C278" s="42"/>
      <c r="D278" s="50"/>
      <c r="E278" s="44"/>
      <c r="F278" s="44" t="s">
        <v>21</v>
      </c>
      <c r="G278" s="45" t="s">
        <v>22</v>
      </c>
      <c r="H278" s="46" t="s">
        <v>20</v>
      </c>
      <c r="I278" s="47"/>
      <c r="J278" s="47"/>
      <c r="K278" s="48"/>
      <c r="L278" s="49">
        <f t="shared" ref="L278:M278" ca="1" si="66">SUM(L279:L280)</f>
        <v>0</v>
      </c>
      <c r="M278" s="49">
        <f t="shared" si="66"/>
        <v>0</v>
      </c>
      <c r="N278" s="49">
        <f t="shared" ca="1" si="65"/>
        <v>0</v>
      </c>
    </row>
    <row r="279" spans="1:14" ht="21.75" customHeight="1" x14ac:dyDescent="0.55000000000000004">
      <c r="A279" s="41"/>
      <c r="B279" s="42"/>
      <c r="C279" s="42"/>
      <c r="D279" s="50"/>
      <c r="E279" s="44"/>
      <c r="F279" s="44"/>
      <c r="G279" s="51" t="s">
        <v>110</v>
      </c>
      <c r="H279" s="46" t="s">
        <v>20</v>
      </c>
      <c r="I279" s="47"/>
      <c r="J279" s="47"/>
      <c r="K279" s="48"/>
      <c r="L279" s="52">
        <f ca="1">IFERROR(__xludf.DUMMYFUNCTION("IMPORTRANGE(""https://docs.google.com/spreadsheets/d/1C3CXT74ZlgGe6_JY_1olB1XN4rF0dxEuIIF-xsYjHgg/edit?usp=sharing"",""งบกองทุน!r66"")"),0)</f>
        <v>0</v>
      </c>
      <c r="M279" s="52">
        <v>0</v>
      </c>
      <c r="N279" s="52">
        <f t="shared" ca="1" si="65"/>
        <v>0</v>
      </c>
    </row>
    <row r="280" spans="1:14" ht="21.75" customHeight="1" x14ac:dyDescent="0.55000000000000004">
      <c r="A280" s="41"/>
      <c r="B280" s="42"/>
      <c r="C280" s="42"/>
      <c r="D280" s="50"/>
      <c r="E280" s="44"/>
      <c r="F280" s="44"/>
      <c r="G280" s="51" t="s">
        <v>111</v>
      </c>
      <c r="H280" s="46" t="s">
        <v>20</v>
      </c>
      <c r="I280" s="47"/>
      <c r="J280" s="47"/>
      <c r="K280" s="48"/>
      <c r="L280" s="52">
        <f ca="1">IFERROR(__xludf.DUMMYFUNCTION("IMPORTRANGE(""https://docs.google.com/spreadsheets/d/1C3CXT74ZlgGe6_JY_1olB1XN4rF0dxEuIIF-xsYjHgg/edit?usp=sharing"",""งบกองทุน!s66"")"),0)</f>
        <v>0</v>
      </c>
      <c r="M280" s="52">
        <f>SUM(M281:M284)</f>
        <v>0</v>
      </c>
      <c r="N280" s="52">
        <f t="shared" ca="1" si="65"/>
        <v>0</v>
      </c>
    </row>
    <row r="281" spans="1:14" ht="21.75" customHeight="1" x14ac:dyDescent="0.55000000000000004">
      <c r="A281" s="229"/>
      <c r="B281" s="230"/>
      <c r="C281" s="42"/>
      <c r="D281" s="231"/>
      <c r="E281" s="44"/>
      <c r="F281" s="44"/>
      <c r="G281" s="45" t="s">
        <v>112</v>
      </c>
      <c r="H281" s="46" t="s">
        <v>20</v>
      </c>
      <c r="I281" s="66"/>
      <c r="J281" s="66"/>
      <c r="K281" s="232"/>
      <c r="L281" s="52"/>
      <c r="M281" s="52">
        <v>0</v>
      </c>
      <c r="N281" s="52"/>
    </row>
    <row r="282" spans="1:14" ht="21.75" customHeight="1" x14ac:dyDescent="0.55000000000000004">
      <c r="A282" s="229"/>
      <c r="B282" s="230"/>
      <c r="C282" s="42"/>
      <c r="D282" s="231"/>
      <c r="E282" s="44"/>
      <c r="F282" s="44"/>
      <c r="G282" s="45" t="s">
        <v>113</v>
      </c>
      <c r="H282" s="46" t="s">
        <v>20</v>
      </c>
      <c r="I282" s="66"/>
      <c r="J282" s="66"/>
      <c r="K282" s="232"/>
      <c r="L282" s="52"/>
      <c r="M282" s="52">
        <v>0</v>
      </c>
      <c r="N282" s="52"/>
    </row>
    <row r="283" spans="1:14" ht="21.75" customHeight="1" x14ac:dyDescent="0.55000000000000004">
      <c r="A283" s="229"/>
      <c r="B283" s="230"/>
      <c r="C283" s="42"/>
      <c r="D283" s="231"/>
      <c r="E283" s="44"/>
      <c r="F283" s="44"/>
      <c r="G283" s="45" t="s">
        <v>114</v>
      </c>
      <c r="H283" s="46" t="s">
        <v>20</v>
      </c>
      <c r="I283" s="66"/>
      <c r="J283" s="66"/>
      <c r="K283" s="232"/>
      <c r="L283" s="52"/>
      <c r="M283" s="52">
        <v>0</v>
      </c>
      <c r="N283" s="52"/>
    </row>
    <row r="284" spans="1:14" ht="21.75" customHeight="1" x14ac:dyDescent="0.55000000000000004">
      <c r="A284" s="229"/>
      <c r="B284" s="230"/>
      <c r="C284" s="42"/>
      <c r="D284" s="231"/>
      <c r="E284" s="44"/>
      <c r="F284" s="44"/>
      <c r="G284" s="45" t="s">
        <v>115</v>
      </c>
      <c r="H284" s="46" t="s">
        <v>20</v>
      </c>
      <c r="I284" s="66"/>
      <c r="J284" s="66"/>
      <c r="K284" s="232"/>
      <c r="L284" s="52"/>
      <c r="M284" s="52">
        <v>0</v>
      </c>
      <c r="N284" s="52"/>
    </row>
    <row r="285" spans="1:14" ht="21.75" customHeight="1" x14ac:dyDescent="0.55000000000000004">
      <c r="A285" s="54"/>
      <c r="B285" s="55"/>
      <c r="C285" s="42" t="s">
        <v>17</v>
      </c>
      <c r="D285" s="56" t="s">
        <v>25</v>
      </c>
      <c r="E285" s="57"/>
      <c r="F285" s="57"/>
      <c r="G285" s="58"/>
      <c r="H285" s="59"/>
      <c r="I285" s="47"/>
      <c r="J285" s="66"/>
      <c r="K285" s="232"/>
      <c r="L285" s="52"/>
      <c r="M285" s="52"/>
      <c r="N285" s="60"/>
    </row>
    <row r="286" spans="1:14" ht="21.75" customHeight="1" x14ac:dyDescent="0.55000000000000004">
      <c r="A286" s="54"/>
      <c r="B286" s="55"/>
      <c r="C286" s="55"/>
      <c r="D286" s="61">
        <v>1</v>
      </c>
      <c r="E286" s="62" t="s">
        <v>26</v>
      </c>
      <c r="F286" s="63"/>
      <c r="G286" s="64"/>
      <c r="H286" s="65"/>
      <c r="I286" s="66"/>
      <c r="J286" s="66">
        <v>0</v>
      </c>
      <c r="K286" s="232"/>
      <c r="L286" s="52"/>
      <c r="M286" s="52"/>
      <c r="N286" s="60"/>
    </row>
    <row r="287" spans="1:14" ht="21.75" customHeight="1" x14ac:dyDescent="0.55000000000000004">
      <c r="A287" s="54"/>
      <c r="B287" s="55"/>
      <c r="C287" s="55"/>
      <c r="D287" s="68">
        <v>2</v>
      </c>
      <c r="E287" s="69" t="s">
        <v>27</v>
      </c>
      <c r="F287" s="70"/>
      <c r="G287" s="71"/>
      <c r="H287" s="65"/>
      <c r="I287" s="66"/>
      <c r="J287" s="66">
        <v>0</v>
      </c>
      <c r="K287" s="232"/>
      <c r="L287" s="52" t="s">
        <v>21</v>
      </c>
      <c r="M287" s="52" t="s">
        <v>21</v>
      </c>
      <c r="N287" s="60"/>
    </row>
    <row r="288" spans="1:14" ht="21.75" customHeight="1" x14ac:dyDescent="0.55000000000000004">
      <c r="A288" s="54"/>
      <c r="B288" s="55"/>
      <c r="C288" s="55"/>
      <c r="D288" s="72"/>
      <c r="E288" s="73" t="s">
        <v>28</v>
      </c>
      <c r="F288" s="74"/>
      <c r="G288" s="75"/>
      <c r="H288" s="65"/>
      <c r="I288" s="66"/>
      <c r="J288" s="66">
        <v>0</v>
      </c>
      <c r="K288" s="232"/>
      <c r="L288" s="52"/>
      <c r="M288" s="52"/>
      <c r="N288" s="60"/>
    </row>
    <row r="289" spans="1:14" ht="21.75" customHeight="1" x14ac:dyDescent="0.55000000000000004">
      <c r="A289" s="54"/>
      <c r="B289" s="55"/>
      <c r="C289" s="55"/>
      <c r="D289" s="72"/>
      <c r="E289" s="73" t="s">
        <v>29</v>
      </c>
      <c r="F289" s="74"/>
      <c r="G289" s="75"/>
      <c r="H289" s="65"/>
      <c r="I289" s="66"/>
      <c r="J289" s="66">
        <v>0</v>
      </c>
      <c r="K289" s="232"/>
      <c r="L289" s="52"/>
      <c r="M289" s="52"/>
      <c r="N289" s="60"/>
    </row>
    <row r="290" spans="1:14" ht="21.75" customHeight="1" x14ac:dyDescent="0.55000000000000004">
      <c r="A290" s="54"/>
      <c r="B290" s="55"/>
      <c r="C290" s="55"/>
      <c r="D290" s="72"/>
      <c r="E290" s="76"/>
      <c r="F290" s="73" t="s">
        <v>127</v>
      </c>
      <c r="G290" s="74"/>
      <c r="H290" s="65"/>
      <c r="I290" s="66"/>
      <c r="J290" s="66"/>
      <c r="K290" s="232"/>
      <c r="L290" s="52"/>
      <c r="M290" s="52"/>
      <c r="N290" s="60"/>
    </row>
    <row r="291" spans="1:14" ht="21.75" customHeight="1" x14ac:dyDescent="0.55000000000000004">
      <c r="A291" s="54"/>
      <c r="B291" s="55"/>
      <c r="C291" s="55"/>
      <c r="D291" s="72"/>
      <c r="E291" s="76"/>
      <c r="F291" s="74"/>
      <c r="G291" s="98" t="s">
        <v>50</v>
      </c>
      <c r="H291" s="65" t="s">
        <v>16</v>
      </c>
      <c r="I291" s="66">
        <f ca="1">IFERROR(__xludf.DUMMYFUNCTION("IMPORTRANGE(""https://docs.google.com/spreadsheets/d/1C3CXT74ZlgGe6_JY_1olB1XN4rF0dxEuIIF-xsYjHgg/edit?usp=sharing"",""งบกองทุน!v66"")"),0)</f>
        <v>0</v>
      </c>
      <c r="J291" s="66">
        <v>0</v>
      </c>
      <c r="K291" s="232">
        <f t="shared" ref="K291:K293" ca="1" si="67">IF(I291&gt;0,J291*100/I291,0)</f>
        <v>0</v>
      </c>
      <c r="L291" s="52"/>
      <c r="M291" s="52"/>
      <c r="N291" s="60"/>
    </row>
    <row r="292" spans="1:14" ht="21.75" customHeight="1" x14ac:dyDescent="0.55000000000000004">
      <c r="A292" s="54"/>
      <c r="B292" s="55"/>
      <c r="C292" s="55"/>
      <c r="D292" s="72"/>
      <c r="E292" s="76"/>
      <c r="F292" s="74"/>
      <c r="G292" s="75" t="s">
        <v>34</v>
      </c>
      <c r="H292" s="65" t="s">
        <v>103</v>
      </c>
      <c r="I292" s="66">
        <f ca="1">IFERROR(__xludf.DUMMYFUNCTION("IMPORTRANGE(""https://docs.google.com/spreadsheets/d/1C3CXT74ZlgGe6_JY_1olB1XN4rF0dxEuIIF-xsYjHgg/edit?usp=sharing"",""งบกองทุน!w66"")"),0)</f>
        <v>0</v>
      </c>
      <c r="J292" s="66">
        <v>0</v>
      </c>
      <c r="K292" s="232">
        <f t="shared" ca="1" si="67"/>
        <v>0</v>
      </c>
      <c r="L292" s="52"/>
      <c r="M292" s="52"/>
      <c r="N292" s="60"/>
    </row>
    <row r="293" spans="1:14" ht="21.75" customHeight="1" x14ac:dyDescent="0.55000000000000004">
      <c r="A293" s="54"/>
      <c r="B293" s="55"/>
      <c r="C293" s="55"/>
      <c r="D293" s="72"/>
      <c r="E293" s="76"/>
      <c r="F293" s="74"/>
      <c r="G293" s="75"/>
      <c r="H293" s="65" t="s">
        <v>16</v>
      </c>
      <c r="I293" s="66">
        <f ca="1">IFERROR(__xludf.DUMMYFUNCTION("IMPORTRANGE(""https://docs.google.com/spreadsheets/d/1C3CXT74ZlgGe6_JY_1olB1XN4rF0dxEuIIF-xsYjHgg/edit?usp=sharing"",""งบกองทุน!x66"")"),0)</f>
        <v>0</v>
      </c>
      <c r="J293" s="66">
        <v>0</v>
      </c>
      <c r="K293" s="232">
        <f t="shared" ca="1" si="67"/>
        <v>0</v>
      </c>
      <c r="L293" s="52"/>
      <c r="M293" s="52"/>
      <c r="N293" s="60"/>
    </row>
    <row r="294" spans="1:14" ht="21.75" customHeight="1" x14ac:dyDescent="0.55000000000000004">
      <c r="A294" s="54"/>
      <c r="B294" s="55"/>
      <c r="C294" s="55"/>
      <c r="D294" s="72"/>
      <c r="E294" s="73" t="s">
        <v>35</v>
      </c>
      <c r="F294" s="74"/>
      <c r="G294" s="75"/>
      <c r="H294" s="65"/>
      <c r="I294" s="66"/>
      <c r="J294" s="66">
        <v>0</v>
      </c>
      <c r="K294" s="232"/>
      <c r="L294" s="52"/>
      <c r="M294" s="52"/>
      <c r="N294" s="60"/>
    </row>
    <row r="295" spans="1:14" ht="21.75" customHeight="1" x14ac:dyDescent="0.55000000000000004">
      <c r="A295" s="54"/>
      <c r="B295" s="55"/>
      <c r="C295" s="55"/>
      <c r="D295" s="80">
        <v>3</v>
      </c>
      <c r="E295" s="81" t="s">
        <v>36</v>
      </c>
      <c r="F295" s="82"/>
      <c r="G295" s="83"/>
      <c r="H295" s="65"/>
      <c r="I295" s="66"/>
      <c r="J295" s="356">
        <v>0</v>
      </c>
      <c r="K295" s="232"/>
      <c r="L295" s="52"/>
      <c r="M295" s="52"/>
      <c r="N295" s="60"/>
    </row>
    <row r="296" spans="1:14" ht="21.75" customHeight="1" x14ac:dyDescent="0.55000000000000004">
      <c r="A296" s="221"/>
      <c r="B296" s="222">
        <v>3</v>
      </c>
      <c r="C296" s="222" t="s">
        <v>128</v>
      </c>
      <c r="D296" s="223"/>
      <c r="E296" s="223"/>
      <c r="F296" s="223"/>
      <c r="G296" s="224"/>
      <c r="H296" s="225" t="s">
        <v>103</v>
      </c>
      <c r="I296" s="226">
        <f ca="1">SUM(I313,I317,I322)</f>
        <v>150</v>
      </c>
      <c r="J296" s="226">
        <f>J313+J317+J322</f>
        <v>0</v>
      </c>
      <c r="K296" s="227">
        <f t="shared" ref="K296:K297" ca="1" si="68">IF(I296&gt;0,J296*100/I296,0)</f>
        <v>0</v>
      </c>
      <c r="L296" s="228">
        <f t="shared" ref="L296:M296" ca="1" si="69">SUM(L298:L299)</f>
        <v>130250</v>
      </c>
      <c r="M296" s="228">
        <f t="shared" si="69"/>
        <v>0</v>
      </c>
      <c r="N296" s="228">
        <f ca="1">+IF(L296&gt;0,M296*100/L296,0)</f>
        <v>0</v>
      </c>
    </row>
    <row r="297" spans="1:14" ht="21.75" customHeight="1" x14ac:dyDescent="0.55000000000000004">
      <c r="A297" s="221"/>
      <c r="B297" s="222"/>
      <c r="C297" s="222"/>
      <c r="D297" s="236"/>
      <c r="E297" s="236"/>
      <c r="F297" s="236"/>
      <c r="G297" s="239"/>
      <c r="H297" s="225" t="s">
        <v>16</v>
      </c>
      <c r="I297" s="226">
        <f ca="1">SUM(I312,I316,I321)</f>
        <v>50</v>
      </c>
      <c r="J297" s="226">
        <f ca="1">J311</f>
        <v>0</v>
      </c>
      <c r="K297" s="227">
        <f t="shared" ca="1" si="68"/>
        <v>0</v>
      </c>
      <c r="L297" s="228"/>
      <c r="M297" s="228"/>
      <c r="N297" s="228"/>
    </row>
    <row r="298" spans="1:14" ht="21.75" customHeight="1" x14ac:dyDescent="0.55000000000000004">
      <c r="A298" s="41"/>
      <c r="B298" s="42"/>
      <c r="C298" s="42" t="s">
        <v>17</v>
      </c>
      <c r="D298" s="43" t="s">
        <v>18</v>
      </c>
      <c r="E298" s="44"/>
      <c r="F298" s="44"/>
      <c r="G298" s="45" t="s">
        <v>19</v>
      </c>
      <c r="H298" s="46" t="s">
        <v>20</v>
      </c>
      <c r="I298" s="47" t="s">
        <v>21</v>
      </c>
      <c r="J298" s="47"/>
      <c r="K298" s="48"/>
      <c r="L298" s="49">
        <v>0</v>
      </c>
      <c r="M298" s="52">
        <v>0</v>
      </c>
      <c r="N298" s="52">
        <f t="shared" ref="N298:N301" si="70">+IF(L298&gt;0,M298*100/L298,0)</f>
        <v>0</v>
      </c>
    </row>
    <row r="299" spans="1:14" ht="21.75" customHeight="1" x14ac:dyDescent="0.55000000000000004">
      <c r="A299" s="41"/>
      <c r="B299" s="42"/>
      <c r="C299" s="42"/>
      <c r="D299" s="50"/>
      <c r="E299" s="44"/>
      <c r="F299" s="44" t="s">
        <v>21</v>
      </c>
      <c r="G299" s="45" t="s">
        <v>22</v>
      </c>
      <c r="H299" s="46" t="s">
        <v>20</v>
      </c>
      <c r="I299" s="47"/>
      <c r="J299" s="47"/>
      <c r="K299" s="48"/>
      <c r="L299" s="49">
        <f t="shared" ref="L299:M299" ca="1" si="71">SUM(L300:L301)</f>
        <v>130250</v>
      </c>
      <c r="M299" s="52">
        <f t="shared" si="71"/>
        <v>0</v>
      </c>
      <c r="N299" s="52">
        <f t="shared" ca="1" si="70"/>
        <v>0</v>
      </c>
    </row>
    <row r="300" spans="1:14" ht="21.75" customHeight="1" x14ac:dyDescent="0.55000000000000004">
      <c r="A300" s="41"/>
      <c r="B300" s="42"/>
      <c r="C300" s="42"/>
      <c r="D300" s="50"/>
      <c r="E300" s="44"/>
      <c r="F300" s="44"/>
      <c r="G300" s="51" t="s">
        <v>110</v>
      </c>
      <c r="H300" s="46" t="s">
        <v>20</v>
      </c>
      <c r="I300" s="47"/>
      <c r="J300" s="47"/>
      <c r="K300" s="48"/>
      <c r="L300" s="52">
        <f ca="1">IFERROR(__xludf.DUMMYFUNCTION("IMPORTRANGE(""https://docs.google.com/spreadsheets/d/1C3CXT74ZlgGe6_JY_1olB1XN4rF0dxEuIIF-xsYjHgg/edit?usp=sharing"",""งบกองทุน!z66"")"),0)</f>
        <v>0</v>
      </c>
      <c r="M300" s="52">
        <v>0</v>
      </c>
      <c r="N300" s="52">
        <f t="shared" ca="1" si="70"/>
        <v>0</v>
      </c>
    </row>
    <row r="301" spans="1:14" ht="21.75" customHeight="1" x14ac:dyDescent="0.55000000000000004">
      <c r="A301" s="41"/>
      <c r="B301" s="42"/>
      <c r="C301" s="42"/>
      <c r="D301" s="50"/>
      <c r="E301" s="44"/>
      <c r="F301" s="44"/>
      <c r="G301" s="51" t="s">
        <v>111</v>
      </c>
      <c r="H301" s="46" t="s">
        <v>20</v>
      </c>
      <c r="I301" s="47"/>
      <c r="J301" s="47"/>
      <c r="K301" s="48"/>
      <c r="L301" s="52">
        <f ca="1">IFERROR(__xludf.DUMMYFUNCTION("IMPORTRANGE(""https://docs.google.com/spreadsheets/d/1C3CXT74ZlgGe6_JY_1olB1XN4rF0dxEuIIF-xsYjHgg/edit?usp=sharing"",""งบกองทุน!aa66"")"),130250)</f>
        <v>130250</v>
      </c>
      <c r="M301" s="52">
        <f>SUM(M302:M305)</f>
        <v>0</v>
      </c>
      <c r="N301" s="52">
        <f t="shared" ca="1" si="70"/>
        <v>0</v>
      </c>
    </row>
    <row r="302" spans="1:14" ht="21.75" customHeight="1" x14ac:dyDescent="0.55000000000000004">
      <c r="A302" s="229"/>
      <c r="B302" s="230"/>
      <c r="C302" s="42"/>
      <c r="D302" s="231"/>
      <c r="E302" s="44"/>
      <c r="F302" s="44"/>
      <c r="G302" s="45" t="s">
        <v>112</v>
      </c>
      <c r="H302" s="46" t="s">
        <v>20</v>
      </c>
      <c r="I302" s="66"/>
      <c r="J302" s="66"/>
      <c r="K302" s="232"/>
      <c r="L302" s="52"/>
      <c r="M302" s="53">
        <v>0</v>
      </c>
      <c r="N302" s="52"/>
    </row>
    <row r="303" spans="1:14" ht="21.75" customHeight="1" x14ac:dyDescent="0.55000000000000004">
      <c r="A303" s="229"/>
      <c r="B303" s="230"/>
      <c r="C303" s="42"/>
      <c r="D303" s="231"/>
      <c r="E303" s="44"/>
      <c r="F303" s="44"/>
      <c r="G303" s="45" t="s">
        <v>113</v>
      </c>
      <c r="H303" s="46" t="s">
        <v>20</v>
      </c>
      <c r="I303" s="66"/>
      <c r="J303" s="66"/>
      <c r="K303" s="232"/>
      <c r="L303" s="52"/>
      <c r="M303" s="53">
        <v>0</v>
      </c>
      <c r="N303" s="52"/>
    </row>
    <row r="304" spans="1:14" ht="21.75" customHeight="1" x14ac:dyDescent="0.55000000000000004">
      <c r="A304" s="229"/>
      <c r="B304" s="230"/>
      <c r="C304" s="42"/>
      <c r="D304" s="231"/>
      <c r="E304" s="44"/>
      <c r="F304" s="44"/>
      <c r="G304" s="45" t="s">
        <v>114</v>
      </c>
      <c r="H304" s="46" t="s">
        <v>20</v>
      </c>
      <c r="I304" s="66"/>
      <c r="J304" s="66"/>
      <c r="K304" s="232"/>
      <c r="L304" s="52"/>
      <c r="M304" s="53">
        <v>0</v>
      </c>
      <c r="N304" s="52"/>
    </row>
    <row r="305" spans="1:14" ht="21.75" customHeight="1" x14ac:dyDescent="0.55000000000000004">
      <c r="A305" s="229"/>
      <c r="B305" s="230"/>
      <c r="C305" s="42"/>
      <c r="D305" s="231"/>
      <c r="E305" s="44"/>
      <c r="F305" s="44"/>
      <c r="G305" s="45" t="s">
        <v>115</v>
      </c>
      <c r="H305" s="46" t="s">
        <v>20</v>
      </c>
      <c r="I305" s="66"/>
      <c r="J305" s="66"/>
      <c r="K305" s="232"/>
      <c r="L305" s="52"/>
      <c r="M305" s="53">
        <v>0</v>
      </c>
      <c r="N305" s="52"/>
    </row>
    <row r="306" spans="1:14" ht="21.75" customHeight="1" x14ac:dyDescent="0.55000000000000004">
      <c r="A306" s="54"/>
      <c r="B306" s="55"/>
      <c r="C306" s="42" t="s">
        <v>17</v>
      </c>
      <c r="D306" s="56" t="s">
        <v>25</v>
      </c>
      <c r="E306" s="57"/>
      <c r="F306" s="57"/>
      <c r="G306" s="58"/>
      <c r="H306" s="59"/>
      <c r="I306" s="47"/>
      <c r="J306" s="47"/>
      <c r="K306" s="48"/>
      <c r="L306" s="60"/>
      <c r="M306" s="60"/>
      <c r="N306" s="60"/>
    </row>
    <row r="307" spans="1:14" ht="21.75" customHeight="1" x14ac:dyDescent="0.55000000000000004">
      <c r="A307" s="54"/>
      <c r="B307" s="55"/>
      <c r="C307" s="55"/>
      <c r="D307" s="61">
        <v>1</v>
      </c>
      <c r="E307" s="62" t="s">
        <v>26</v>
      </c>
      <c r="F307" s="63"/>
      <c r="G307" s="64"/>
      <c r="H307" s="65"/>
      <c r="I307" s="66"/>
      <c r="J307" s="67">
        <v>0</v>
      </c>
      <c r="K307" s="48"/>
      <c r="L307" s="60"/>
      <c r="M307" s="60"/>
      <c r="N307" s="60"/>
    </row>
    <row r="308" spans="1:14" ht="21.75" customHeight="1" x14ac:dyDescent="0.55000000000000004">
      <c r="A308" s="54"/>
      <c r="B308" s="55"/>
      <c r="C308" s="55"/>
      <c r="D308" s="68">
        <v>2</v>
      </c>
      <c r="E308" s="69" t="s">
        <v>27</v>
      </c>
      <c r="F308" s="70"/>
      <c r="G308" s="71"/>
      <c r="H308" s="65"/>
      <c r="I308" s="66"/>
      <c r="J308" s="67">
        <v>1</v>
      </c>
      <c r="K308" s="48"/>
      <c r="L308" s="60" t="s">
        <v>21</v>
      </c>
      <c r="M308" s="60" t="s">
        <v>21</v>
      </c>
      <c r="N308" s="60"/>
    </row>
    <row r="309" spans="1:14" ht="21.75" customHeight="1" x14ac:dyDescent="0.55000000000000004">
      <c r="A309" s="54"/>
      <c r="B309" s="55"/>
      <c r="C309" s="55"/>
      <c r="D309" s="72"/>
      <c r="E309" s="73" t="s">
        <v>28</v>
      </c>
      <c r="F309" s="74"/>
      <c r="G309" s="75"/>
      <c r="H309" s="65"/>
      <c r="I309" s="66"/>
      <c r="J309" s="67">
        <v>1</v>
      </c>
      <c r="K309" s="48"/>
      <c r="L309" s="60"/>
      <c r="M309" s="60"/>
      <c r="N309" s="60"/>
    </row>
    <row r="310" spans="1:14" ht="21.75" customHeight="1" x14ac:dyDescent="0.55000000000000004">
      <c r="A310" s="54"/>
      <c r="B310" s="55"/>
      <c r="C310" s="55"/>
      <c r="D310" s="72"/>
      <c r="E310" s="73" t="s">
        <v>29</v>
      </c>
      <c r="F310" s="74"/>
      <c r="G310" s="75"/>
      <c r="H310" s="65"/>
      <c r="I310" s="66"/>
      <c r="J310" s="67">
        <v>1</v>
      </c>
      <c r="K310" s="48"/>
      <c r="L310" s="60"/>
      <c r="M310" s="60">
        <v>740</v>
      </c>
      <c r="N310" s="60"/>
    </row>
    <row r="311" spans="1:14" ht="21.75" customHeight="1" x14ac:dyDescent="0.55000000000000004">
      <c r="A311" s="54"/>
      <c r="B311" s="55"/>
      <c r="C311" s="55"/>
      <c r="D311" s="72"/>
      <c r="E311" s="76"/>
      <c r="F311" s="73" t="s">
        <v>50</v>
      </c>
      <c r="G311" s="240"/>
      <c r="H311" s="241" t="s">
        <v>16</v>
      </c>
      <c r="I311" s="78">
        <f t="shared" ref="I311:J311" ca="1" si="72">+I312+I316+I321</f>
        <v>50</v>
      </c>
      <c r="J311" s="78">
        <f t="shared" ca="1" si="72"/>
        <v>0</v>
      </c>
      <c r="K311" s="79">
        <f t="shared" ref="K311:K327" ca="1" si="73">IF(I311&gt;0,J311*100/I311,0)</f>
        <v>0</v>
      </c>
      <c r="L311" s="60"/>
      <c r="M311" s="60"/>
      <c r="N311" s="60"/>
    </row>
    <row r="312" spans="1:14" ht="21.75" customHeight="1" x14ac:dyDescent="0.55000000000000004">
      <c r="A312" s="54"/>
      <c r="B312" s="55"/>
      <c r="C312" s="55"/>
      <c r="D312" s="72"/>
      <c r="E312" s="76"/>
      <c r="F312" s="242" t="s">
        <v>129</v>
      </c>
      <c r="G312" s="75"/>
      <c r="H312" s="77" t="s">
        <v>16</v>
      </c>
      <c r="I312" s="243">
        <f ca="1">IFERROR(__xludf.DUMMYFUNCTION("IMPORTRANGE(""https://docs.google.com/spreadsheets/d/1C3CXT74ZlgGe6_JY_1olB1XN4rF0dxEuIIF-xsYjHgg/edit?usp=sharing"",""งบกองทุน!ae66"")"),0)</f>
        <v>0</v>
      </c>
      <c r="J312" s="366">
        <f ca="1">IF(AND(J314=I314,J315=I315),I314,0)</f>
        <v>0</v>
      </c>
      <c r="K312" s="79">
        <f t="shared" ca="1" si="73"/>
        <v>0</v>
      </c>
      <c r="L312" s="60"/>
      <c r="M312" s="60"/>
      <c r="N312" s="60"/>
    </row>
    <row r="313" spans="1:14" ht="21.75" customHeight="1" x14ac:dyDescent="0.55000000000000004">
      <c r="A313" s="54"/>
      <c r="B313" s="55"/>
      <c r="C313" s="55"/>
      <c r="D313" s="72"/>
      <c r="E313" s="76"/>
      <c r="F313" s="74"/>
      <c r="G313" s="75"/>
      <c r="H313" s="77" t="s">
        <v>103</v>
      </c>
      <c r="I313" s="243">
        <f ca="1">IFERROR(__xludf.DUMMYFUNCTION("IMPORTRANGE(""https://docs.google.com/spreadsheets/d/1C3CXT74ZlgGe6_JY_1olB1XN4rF0dxEuIIF-xsYjHgg/edit?usp=sharing"",""งบกองทุน!ad66"")"),0)</f>
        <v>0</v>
      </c>
      <c r="J313" s="364">
        <v>0</v>
      </c>
      <c r="K313" s="79">
        <f t="shared" ca="1" si="73"/>
        <v>0</v>
      </c>
      <c r="L313" s="60"/>
      <c r="M313" s="60"/>
      <c r="N313" s="60"/>
    </row>
    <row r="314" spans="1:14" ht="21.75" customHeight="1" x14ac:dyDescent="0.55000000000000004">
      <c r="A314" s="54"/>
      <c r="B314" s="55"/>
      <c r="C314" s="55"/>
      <c r="D314" s="72"/>
      <c r="E314" s="76"/>
      <c r="F314" s="74"/>
      <c r="G314" s="98" t="s">
        <v>130</v>
      </c>
      <c r="H314" s="59" t="s">
        <v>16</v>
      </c>
      <c r="I314" s="199">
        <f ca="1">IFERROR(__xludf.DUMMYFUNCTION("IMPORTRANGE(""https://docs.google.com/spreadsheets/d/1C3CXT74ZlgGe6_JY_1olB1XN4rF0dxEuIIF-xsYjHgg/edit?usp=sharing"",""งบกองทุน!af66"")"),0)</f>
        <v>0</v>
      </c>
      <c r="J314" s="365">
        <v>0</v>
      </c>
      <c r="K314" s="48">
        <f t="shared" ca="1" si="73"/>
        <v>0</v>
      </c>
      <c r="L314" s="60"/>
      <c r="M314" s="60"/>
      <c r="N314" s="60"/>
    </row>
    <row r="315" spans="1:14" ht="21.75" customHeight="1" x14ac:dyDescent="0.55000000000000004">
      <c r="A315" s="104"/>
      <c r="B315" s="105"/>
      <c r="C315" s="105"/>
      <c r="D315" s="244"/>
      <c r="E315" s="245"/>
      <c r="F315" s="203"/>
      <c r="G315" s="246" t="s">
        <v>131</v>
      </c>
      <c r="H315" s="205" t="s">
        <v>16</v>
      </c>
      <c r="I315" s="206">
        <f ca="1">IFERROR(__xludf.DUMMYFUNCTION("IMPORTRANGE(""https://docs.google.com/spreadsheets/d/1C3CXT74ZlgGe6_JY_1olB1XN4rF0dxEuIIF-xsYjHgg/edit?usp=sharing"",""งบกองทุน!ag66"")"),0)</f>
        <v>0</v>
      </c>
      <c r="J315" s="365">
        <v>0</v>
      </c>
      <c r="K315" s="113">
        <f t="shared" ca="1" si="73"/>
        <v>0</v>
      </c>
      <c r="L315" s="114"/>
      <c r="M315" s="114"/>
      <c r="N315" s="114"/>
    </row>
    <row r="316" spans="1:14" ht="21.75" customHeight="1" x14ac:dyDescent="0.55000000000000004">
      <c r="A316" s="54"/>
      <c r="B316" s="55"/>
      <c r="C316" s="55"/>
      <c r="D316" s="72"/>
      <c r="E316" s="76"/>
      <c r="F316" s="242" t="s">
        <v>132</v>
      </c>
      <c r="G316" s="75"/>
      <c r="H316" s="77" t="s">
        <v>16</v>
      </c>
      <c r="I316" s="243">
        <f ca="1">IFERROR(__xludf.DUMMYFUNCTION("IMPORTRANGE(""https://docs.google.com/spreadsheets/d/1C3CXT74ZlgGe6_JY_1olB1XN4rF0dxEuIIF-xsYjHgg/edit?usp=sharing"",""งบกองทุน!ai66"")"),40)</f>
        <v>40</v>
      </c>
      <c r="J316" s="366">
        <f ca="1">IF(AND(J318=I318,J319=I319,J320=I320),I318,0)</f>
        <v>0</v>
      </c>
      <c r="K316" s="79">
        <f t="shared" ca="1" si="73"/>
        <v>0</v>
      </c>
      <c r="L316" s="60"/>
      <c r="M316" s="60"/>
      <c r="N316" s="60"/>
    </row>
    <row r="317" spans="1:14" ht="21.75" customHeight="1" x14ac:dyDescent="0.55000000000000004">
      <c r="A317" s="54"/>
      <c r="B317" s="55"/>
      <c r="C317" s="55"/>
      <c r="D317" s="72"/>
      <c r="E317" s="76"/>
      <c r="F317" s="74"/>
      <c r="G317" s="75"/>
      <c r="H317" s="77" t="s">
        <v>103</v>
      </c>
      <c r="I317" s="243">
        <f ca="1">IFERROR(__xludf.DUMMYFUNCTION("IMPORTRANGE(""https://docs.google.com/spreadsheets/d/1C3CXT74ZlgGe6_JY_1olB1XN4rF0dxEuIIF-xsYjHgg/edit?usp=sharing"",""งบกองทุน!ah66"")"),120)</f>
        <v>120</v>
      </c>
      <c r="J317" s="367">
        <v>0</v>
      </c>
      <c r="K317" s="79">
        <f t="shared" ca="1" si="73"/>
        <v>0</v>
      </c>
      <c r="L317" s="60"/>
      <c r="M317" s="60"/>
      <c r="N317" s="60"/>
    </row>
    <row r="318" spans="1:14" ht="21.75" customHeight="1" x14ac:dyDescent="0.55000000000000004">
      <c r="A318" s="54"/>
      <c r="B318" s="55"/>
      <c r="C318" s="55"/>
      <c r="D318" s="72"/>
      <c r="E318" s="76"/>
      <c r="F318" s="74"/>
      <c r="G318" s="98" t="s">
        <v>133</v>
      </c>
      <c r="H318" s="59" t="s">
        <v>16</v>
      </c>
      <c r="I318" s="199">
        <f ca="1">IFERROR(__xludf.DUMMYFUNCTION("IMPORTRANGE(""https://docs.google.com/spreadsheets/d/1C3CXT74ZlgGe6_JY_1olB1XN4rF0dxEuIIF-xsYjHgg/edit?usp=sharing"",""งบกองทุน!aj66"")"),40)</f>
        <v>40</v>
      </c>
      <c r="J318" s="368">
        <v>0</v>
      </c>
      <c r="K318" s="48">
        <f t="shared" ca="1" si="73"/>
        <v>0</v>
      </c>
      <c r="L318" s="60"/>
      <c r="M318" s="60"/>
      <c r="N318" s="60"/>
    </row>
    <row r="319" spans="1:14" ht="21.75" customHeight="1" x14ac:dyDescent="0.55000000000000004">
      <c r="A319" s="54"/>
      <c r="B319" s="55"/>
      <c r="C319" s="55"/>
      <c r="D319" s="72"/>
      <c r="E319" s="76"/>
      <c r="F319" s="74"/>
      <c r="G319" s="98" t="s">
        <v>134</v>
      </c>
      <c r="H319" s="59" t="s">
        <v>16</v>
      </c>
      <c r="I319" s="199">
        <f ca="1">IFERROR(__xludf.DUMMYFUNCTION("IMPORTRANGE(""https://docs.google.com/spreadsheets/d/1C3CXT74ZlgGe6_JY_1olB1XN4rF0dxEuIIF-xsYjHgg/edit?usp=sharing"",""งบกองทุน!ak66"")"),40)</f>
        <v>40</v>
      </c>
      <c r="J319" s="368">
        <v>0</v>
      </c>
      <c r="K319" s="48">
        <f t="shared" ca="1" si="73"/>
        <v>0</v>
      </c>
      <c r="L319" s="60"/>
      <c r="M319" s="60"/>
      <c r="N319" s="60"/>
    </row>
    <row r="320" spans="1:14" ht="21.75" customHeight="1" x14ac:dyDescent="0.55000000000000004">
      <c r="A320" s="54"/>
      <c r="B320" s="55"/>
      <c r="C320" s="55"/>
      <c r="D320" s="72"/>
      <c r="E320" s="76"/>
      <c r="F320" s="74"/>
      <c r="G320" s="98" t="s">
        <v>135</v>
      </c>
      <c r="H320" s="59" t="s">
        <v>16</v>
      </c>
      <c r="I320" s="199">
        <f ca="1">IFERROR(__xludf.DUMMYFUNCTION("IMPORTRANGE(""https://docs.google.com/spreadsheets/d/1C3CXT74ZlgGe6_JY_1olB1XN4rF0dxEuIIF-xsYjHgg/edit?usp=sharing"",""งบกองทุน!al66"")"),40)</f>
        <v>40</v>
      </c>
      <c r="J320" s="368">
        <v>0</v>
      </c>
      <c r="K320" s="48">
        <f t="shared" ca="1" si="73"/>
        <v>0</v>
      </c>
      <c r="L320" s="60"/>
      <c r="M320" s="60"/>
      <c r="N320" s="60"/>
    </row>
    <row r="321" spans="1:14" ht="21.75" customHeight="1" x14ac:dyDescent="0.55000000000000004">
      <c r="A321" s="54"/>
      <c r="B321" s="55"/>
      <c r="C321" s="55"/>
      <c r="D321" s="72"/>
      <c r="E321" s="76"/>
      <c r="F321" s="242" t="s">
        <v>136</v>
      </c>
      <c r="G321" s="75"/>
      <c r="H321" s="77" t="s">
        <v>16</v>
      </c>
      <c r="I321" s="243">
        <f ca="1">IFERROR(__xludf.DUMMYFUNCTION("IMPORTRANGE(""https://docs.google.com/spreadsheets/d/1C3CXT74ZlgGe6_JY_1olB1XN4rF0dxEuIIF-xsYjHgg/edit?usp=sharing"",""งบกองทุน!an66"")"),10)</f>
        <v>10</v>
      </c>
      <c r="J321" s="366">
        <f ca="1">IF(AND(J323=I323,J324=I324),I323,0)</f>
        <v>0</v>
      </c>
      <c r="K321" s="79">
        <f t="shared" ca="1" si="73"/>
        <v>0</v>
      </c>
      <c r="L321" s="60"/>
      <c r="M321" s="60"/>
      <c r="N321" s="60"/>
    </row>
    <row r="322" spans="1:14" ht="21.75" customHeight="1" x14ac:dyDescent="0.55000000000000004">
      <c r="A322" s="54"/>
      <c r="B322" s="55"/>
      <c r="C322" s="55"/>
      <c r="D322" s="72"/>
      <c r="E322" s="76"/>
      <c r="F322" s="74"/>
      <c r="G322" s="75"/>
      <c r="H322" s="77" t="s">
        <v>103</v>
      </c>
      <c r="I322" s="243">
        <f ca="1">IFERROR(__xludf.DUMMYFUNCTION("IMPORTRANGE(""https://docs.google.com/spreadsheets/d/1C3CXT74ZlgGe6_JY_1olB1XN4rF0dxEuIIF-xsYjHgg/edit?usp=sharing"",""งบกองทุน!am66"")"),30)</f>
        <v>30</v>
      </c>
      <c r="J322" s="367">
        <v>0</v>
      </c>
      <c r="K322" s="79">
        <f t="shared" ca="1" si="73"/>
        <v>0</v>
      </c>
      <c r="L322" s="60"/>
      <c r="M322" s="60"/>
      <c r="N322" s="60"/>
    </row>
    <row r="323" spans="1:14" ht="21.75" customHeight="1" x14ac:dyDescent="0.55000000000000004">
      <c r="A323" s="54"/>
      <c r="B323" s="55"/>
      <c r="C323" s="55"/>
      <c r="D323" s="72"/>
      <c r="E323" s="76"/>
      <c r="F323" s="74"/>
      <c r="G323" s="98" t="s">
        <v>137</v>
      </c>
      <c r="H323" s="59" t="s">
        <v>16</v>
      </c>
      <c r="I323" s="248">
        <f ca="1">IFERROR(__xludf.DUMMYFUNCTION("IMPORTRANGE(""https://docs.google.com/spreadsheets/d/1C3CXT74ZlgGe6_JY_1olB1XN4rF0dxEuIIF-xsYjHgg/edit?usp=sharing"",""งบกองทุน!ao66"")"),10)</f>
        <v>10</v>
      </c>
      <c r="J323" s="368">
        <v>0</v>
      </c>
      <c r="K323" s="48">
        <f t="shared" ca="1" si="73"/>
        <v>0</v>
      </c>
      <c r="L323" s="60"/>
      <c r="M323" s="60"/>
      <c r="N323" s="60"/>
    </row>
    <row r="324" spans="1:14" ht="21.75" customHeight="1" x14ac:dyDescent="0.55000000000000004">
      <c r="A324" s="54"/>
      <c r="B324" s="55"/>
      <c r="C324" s="55"/>
      <c r="D324" s="72"/>
      <c r="E324" s="76"/>
      <c r="F324" s="74"/>
      <c r="G324" s="98" t="s">
        <v>138</v>
      </c>
      <c r="H324" s="59" t="s">
        <v>16</v>
      </c>
      <c r="I324" s="248">
        <f ca="1">IFERROR(__xludf.DUMMYFUNCTION("IMPORTRANGE(""https://docs.google.com/spreadsheets/d/1C3CXT74ZlgGe6_JY_1olB1XN4rF0dxEuIIF-xsYjHgg/edit?usp=sharing"",""งบกองทุน!ap66"")"),10)</f>
        <v>10</v>
      </c>
      <c r="J324" s="368">
        <v>0</v>
      </c>
      <c r="K324" s="48">
        <f t="shared" ca="1" si="73"/>
        <v>0</v>
      </c>
      <c r="L324" s="60"/>
      <c r="M324" s="60"/>
      <c r="N324" s="60"/>
    </row>
    <row r="325" spans="1:14" ht="21.75" customHeight="1" x14ac:dyDescent="0.55000000000000004">
      <c r="A325" s="54"/>
      <c r="B325" s="55"/>
      <c r="C325" s="55"/>
      <c r="D325" s="72"/>
      <c r="E325" s="76"/>
      <c r="F325" s="73" t="s">
        <v>34</v>
      </c>
      <c r="G325" s="240"/>
      <c r="H325" s="241" t="s">
        <v>16</v>
      </c>
      <c r="I325" s="78">
        <f ca="1">SUM(I326,I327)</f>
        <v>40</v>
      </c>
      <c r="J325" s="366">
        <f ca="1">IF(AND(J326=I326,J327=I327),I325,0)</f>
        <v>0</v>
      </c>
      <c r="K325" s="79">
        <f t="shared" ca="1" si="73"/>
        <v>0</v>
      </c>
      <c r="L325" s="60"/>
      <c r="M325" s="60"/>
      <c r="N325" s="60"/>
    </row>
    <row r="326" spans="1:14" ht="21.75" customHeight="1" x14ac:dyDescent="0.55000000000000004">
      <c r="A326" s="249"/>
      <c r="B326" s="250"/>
      <c r="C326" s="250"/>
      <c r="D326" s="251"/>
      <c r="E326" s="76"/>
      <c r="F326" s="74"/>
      <c r="G326" s="98" t="s">
        <v>139</v>
      </c>
      <c r="H326" s="59" t="s">
        <v>16</v>
      </c>
      <c r="I326" s="248">
        <f ca="1">IFERROR(__xludf.DUMMYFUNCTION("IMPORTRANGE(""https://docs.google.com/spreadsheets/d/1C3CXT74ZlgGe6_JY_1olB1XN4rF0dxEuIIF-xsYjHgg/edit?usp=sharing"",""งบกองทุน!ar66"")"),0)</f>
        <v>0</v>
      </c>
      <c r="J326" s="365">
        <v>0</v>
      </c>
      <c r="K326" s="48">
        <f t="shared" ca="1" si="73"/>
        <v>0</v>
      </c>
      <c r="L326" s="60"/>
      <c r="M326" s="60"/>
      <c r="N326" s="60"/>
    </row>
    <row r="327" spans="1:14" ht="21.75" customHeight="1" x14ac:dyDescent="0.55000000000000004">
      <c r="A327" s="249"/>
      <c r="B327" s="250"/>
      <c r="C327" s="250"/>
      <c r="D327" s="251"/>
      <c r="E327" s="76"/>
      <c r="F327" s="74"/>
      <c r="G327" s="98" t="s">
        <v>140</v>
      </c>
      <c r="H327" s="59" t="s">
        <v>16</v>
      </c>
      <c r="I327" s="248">
        <f ca="1">IFERROR(__xludf.DUMMYFUNCTION("IMPORTRANGE(""https://docs.google.com/spreadsheets/d/1C3CXT74ZlgGe6_JY_1olB1XN4rF0dxEuIIF-xsYjHgg/edit?usp=sharing"",""งบกองทุน!as66"")"),40)</f>
        <v>40</v>
      </c>
      <c r="J327" s="368">
        <v>0</v>
      </c>
      <c r="K327" s="48">
        <f t="shared" ca="1" si="73"/>
        <v>0</v>
      </c>
      <c r="L327" s="60"/>
      <c r="M327" s="60"/>
      <c r="N327" s="60"/>
    </row>
    <row r="328" spans="1:14" ht="21.75" customHeight="1" x14ac:dyDescent="0.55000000000000004">
      <c r="A328" s="54"/>
      <c r="B328" s="55"/>
      <c r="C328" s="55"/>
      <c r="D328" s="72"/>
      <c r="E328" s="73" t="s">
        <v>35</v>
      </c>
      <c r="F328" s="74"/>
      <c r="G328" s="75"/>
      <c r="H328" s="65"/>
      <c r="I328" s="66"/>
      <c r="J328" s="67">
        <v>0</v>
      </c>
      <c r="K328" s="48"/>
      <c r="L328" s="60"/>
      <c r="M328" s="60"/>
      <c r="N328" s="60"/>
    </row>
    <row r="329" spans="1:14" ht="21.75" customHeight="1" x14ac:dyDescent="0.55000000000000004">
      <c r="A329" s="54"/>
      <c r="B329" s="55"/>
      <c r="C329" s="55"/>
      <c r="D329" s="80">
        <v>3</v>
      </c>
      <c r="E329" s="81" t="s">
        <v>36</v>
      </c>
      <c r="F329" s="82"/>
      <c r="G329" s="83"/>
      <c r="H329" s="65"/>
      <c r="I329" s="66"/>
      <c r="J329" s="84">
        <v>0</v>
      </c>
      <c r="K329" s="48"/>
      <c r="L329" s="60"/>
      <c r="M329" s="60"/>
      <c r="N329" s="60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71000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1"/>
      <c r="B331" s="42"/>
      <c r="C331" s="42" t="s">
        <v>17</v>
      </c>
      <c r="D331" s="43" t="s">
        <v>18</v>
      </c>
      <c r="E331" s="44"/>
      <c r="F331" s="44"/>
      <c r="G331" s="45" t="s">
        <v>19</v>
      </c>
      <c r="H331" s="46" t="s">
        <v>20</v>
      </c>
      <c r="I331" s="47" t="s">
        <v>21</v>
      </c>
      <c r="J331" s="47"/>
      <c r="K331" s="48"/>
      <c r="L331" s="49">
        <v>0</v>
      </c>
      <c r="M331" s="52">
        <v>0</v>
      </c>
      <c r="N331" s="52">
        <f t="shared" si="75"/>
        <v>0</v>
      </c>
    </row>
    <row r="332" spans="1:14" ht="21.75" customHeight="1" x14ac:dyDescent="0.55000000000000004">
      <c r="A332" s="41"/>
      <c r="B332" s="42"/>
      <c r="C332" s="42"/>
      <c r="D332" s="50"/>
      <c r="E332" s="44"/>
      <c r="F332" s="44" t="s">
        <v>21</v>
      </c>
      <c r="G332" s="45" t="s">
        <v>22</v>
      </c>
      <c r="H332" s="46" t="s">
        <v>20</v>
      </c>
      <c r="I332" s="47"/>
      <c r="J332" s="47"/>
      <c r="K332" s="48"/>
      <c r="L332" s="49">
        <f t="shared" ref="L332:M332" ca="1" si="76">SUM(L333:L334)</f>
        <v>71000</v>
      </c>
      <c r="M332" s="52">
        <f t="shared" si="76"/>
        <v>0</v>
      </c>
      <c r="N332" s="52">
        <f t="shared" ca="1" si="75"/>
        <v>0</v>
      </c>
    </row>
    <row r="333" spans="1:14" ht="21.75" customHeight="1" x14ac:dyDescent="0.55000000000000004">
      <c r="A333" s="41"/>
      <c r="B333" s="42"/>
      <c r="C333" s="42"/>
      <c r="D333" s="50"/>
      <c r="E333" s="44"/>
      <c r="F333" s="44"/>
      <c r="G333" s="51" t="s">
        <v>110</v>
      </c>
      <c r="H333" s="46" t="s">
        <v>20</v>
      </c>
      <c r="I333" s="47"/>
      <c r="J333" s="47"/>
      <c r="K333" s="48"/>
      <c r="L333" s="52">
        <f ca="1">IFERROR(__xludf.DUMMYFUNCTION("IMPORTRANGE(""https://docs.google.com/spreadsheets/d/1C3CXT74ZlgGe6_JY_1olB1XN4rF0dxEuIIF-xsYjHgg/edit?usp=sharing"",""งบกองทุน!au66"")"),0)</f>
        <v>0</v>
      </c>
      <c r="M333" s="52">
        <v>0</v>
      </c>
      <c r="N333" s="52">
        <f t="shared" ca="1" si="75"/>
        <v>0</v>
      </c>
    </row>
    <row r="334" spans="1:14" ht="21.75" customHeight="1" x14ac:dyDescent="0.55000000000000004">
      <c r="A334" s="41"/>
      <c r="B334" s="42"/>
      <c r="C334" s="42"/>
      <c r="D334" s="50"/>
      <c r="E334" s="44"/>
      <c r="F334" s="44"/>
      <c r="G334" s="51" t="s">
        <v>111</v>
      </c>
      <c r="H334" s="46" t="s">
        <v>20</v>
      </c>
      <c r="I334" s="47"/>
      <c r="J334" s="47"/>
      <c r="K334" s="48"/>
      <c r="L334" s="52">
        <f ca="1">IFERROR(__xludf.DUMMYFUNCTION("IMPORTRANGE(""https://docs.google.com/spreadsheets/d/1C3CXT74ZlgGe6_JY_1olB1XN4rF0dxEuIIF-xsYjHgg/edit?usp=sharing"",""งบกองทุน!av66"")"),71000)</f>
        <v>71000</v>
      </c>
      <c r="M334" s="52">
        <f>SUM(M335:M338)</f>
        <v>0</v>
      </c>
      <c r="N334" s="52">
        <f t="shared" ca="1" si="75"/>
        <v>0</v>
      </c>
    </row>
    <row r="335" spans="1:14" ht="21.75" customHeight="1" x14ac:dyDescent="0.55000000000000004">
      <c r="A335" s="229"/>
      <c r="B335" s="230"/>
      <c r="C335" s="42"/>
      <c r="D335" s="231"/>
      <c r="E335" s="44"/>
      <c r="F335" s="44"/>
      <c r="G335" s="45" t="s">
        <v>112</v>
      </c>
      <c r="H335" s="46" t="s">
        <v>20</v>
      </c>
      <c r="I335" s="66"/>
      <c r="J335" s="66"/>
      <c r="K335" s="232"/>
      <c r="L335" s="52"/>
      <c r="M335" s="53">
        <v>0</v>
      </c>
      <c r="N335" s="52"/>
    </row>
    <row r="336" spans="1:14" ht="21.75" customHeight="1" x14ac:dyDescent="0.55000000000000004">
      <c r="A336" s="229"/>
      <c r="B336" s="230"/>
      <c r="C336" s="42"/>
      <c r="D336" s="231"/>
      <c r="E336" s="44"/>
      <c r="F336" s="44"/>
      <c r="G336" s="45" t="s">
        <v>113</v>
      </c>
      <c r="H336" s="46" t="s">
        <v>20</v>
      </c>
      <c r="I336" s="66"/>
      <c r="J336" s="66"/>
      <c r="K336" s="232"/>
      <c r="L336" s="52"/>
      <c r="M336" s="53">
        <v>0</v>
      </c>
      <c r="N336" s="52"/>
    </row>
    <row r="337" spans="1:14" ht="21.75" customHeight="1" x14ac:dyDescent="0.55000000000000004">
      <c r="A337" s="229"/>
      <c r="B337" s="230"/>
      <c r="C337" s="42"/>
      <c r="D337" s="231"/>
      <c r="E337" s="44"/>
      <c r="F337" s="44"/>
      <c r="G337" s="45" t="s">
        <v>114</v>
      </c>
      <c r="H337" s="46" t="s">
        <v>20</v>
      </c>
      <c r="I337" s="66"/>
      <c r="J337" s="66"/>
      <c r="K337" s="232"/>
      <c r="L337" s="52"/>
      <c r="M337" s="53">
        <v>0</v>
      </c>
      <c r="N337" s="52"/>
    </row>
    <row r="338" spans="1:14" ht="21.75" customHeight="1" x14ac:dyDescent="0.55000000000000004">
      <c r="A338" s="229"/>
      <c r="B338" s="230"/>
      <c r="C338" s="42"/>
      <c r="D338" s="231"/>
      <c r="E338" s="44"/>
      <c r="F338" s="44"/>
      <c r="G338" s="45" t="s">
        <v>115</v>
      </c>
      <c r="H338" s="46" t="s">
        <v>20</v>
      </c>
      <c r="I338" s="66"/>
      <c r="J338" s="66"/>
      <c r="K338" s="232"/>
      <c r="L338" s="52"/>
      <c r="M338" s="53">
        <v>0</v>
      </c>
      <c r="N338" s="52"/>
    </row>
    <row r="339" spans="1:14" ht="21.75" customHeight="1" x14ac:dyDescent="0.55000000000000004">
      <c r="A339" s="54"/>
      <c r="B339" s="55"/>
      <c r="C339" s="42" t="s">
        <v>17</v>
      </c>
      <c r="D339" s="56" t="s">
        <v>25</v>
      </c>
      <c r="E339" s="57"/>
      <c r="F339" s="57"/>
      <c r="G339" s="58"/>
      <c r="H339" s="59"/>
      <c r="I339" s="47"/>
      <c r="J339" s="47"/>
      <c r="K339" s="48"/>
      <c r="L339" s="60"/>
      <c r="M339" s="60"/>
      <c r="N339" s="60"/>
    </row>
    <row r="340" spans="1:14" ht="21.75" customHeight="1" x14ac:dyDescent="0.55000000000000004">
      <c r="A340" s="54"/>
      <c r="B340" s="55"/>
      <c r="C340" s="55"/>
      <c r="D340" s="61">
        <v>1</v>
      </c>
      <c r="E340" s="62" t="s">
        <v>26</v>
      </c>
      <c r="F340" s="63"/>
      <c r="G340" s="64"/>
      <c r="H340" s="65"/>
      <c r="I340" s="66"/>
      <c r="J340" s="84">
        <v>0</v>
      </c>
      <c r="K340" s="48"/>
      <c r="L340" s="60"/>
      <c r="M340" s="60"/>
      <c r="N340" s="60"/>
    </row>
    <row r="341" spans="1:14" ht="21.75" customHeight="1" x14ac:dyDescent="0.55000000000000004">
      <c r="A341" s="54"/>
      <c r="B341" s="55"/>
      <c r="C341" s="55"/>
      <c r="D341" s="68">
        <v>2</v>
      </c>
      <c r="E341" s="69" t="s">
        <v>27</v>
      </c>
      <c r="F341" s="70"/>
      <c r="G341" s="71"/>
      <c r="H341" s="65"/>
      <c r="I341" s="66"/>
      <c r="J341" s="84">
        <v>1</v>
      </c>
      <c r="K341" s="48"/>
      <c r="L341" s="60" t="s">
        <v>21</v>
      </c>
      <c r="M341" s="60" t="s">
        <v>21</v>
      </c>
      <c r="N341" s="60"/>
    </row>
    <row r="342" spans="1:14" ht="21.75" customHeight="1" x14ac:dyDescent="0.55000000000000004">
      <c r="A342" s="54"/>
      <c r="B342" s="55"/>
      <c r="C342" s="55"/>
      <c r="D342" s="72"/>
      <c r="E342" s="73" t="s">
        <v>142</v>
      </c>
      <c r="F342" s="74"/>
      <c r="G342" s="75"/>
      <c r="H342" s="65"/>
      <c r="I342" s="66"/>
      <c r="J342" s="67">
        <v>1</v>
      </c>
      <c r="K342" s="48"/>
      <c r="L342" s="60"/>
      <c r="M342" s="60"/>
      <c r="N342" s="60"/>
    </row>
    <row r="343" spans="1:14" ht="21.75" customHeight="1" x14ac:dyDescent="0.55000000000000004">
      <c r="A343" s="54"/>
      <c r="B343" s="55"/>
      <c r="C343" s="55"/>
      <c r="D343" s="72"/>
      <c r="E343" s="73" t="s">
        <v>29</v>
      </c>
      <c r="F343" s="74"/>
      <c r="G343" s="75"/>
      <c r="H343" s="65"/>
      <c r="I343" s="66"/>
      <c r="J343" s="67">
        <v>1</v>
      </c>
      <c r="K343" s="48"/>
      <c r="L343" s="60"/>
      <c r="M343" s="60"/>
      <c r="N343" s="60"/>
    </row>
    <row r="344" spans="1:14" ht="21.75" customHeight="1" x14ac:dyDescent="0.55000000000000004">
      <c r="A344" s="54"/>
      <c r="B344" s="55"/>
      <c r="C344" s="55"/>
      <c r="D344" s="72"/>
      <c r="E344" s="76"/>
      <c r="F344" s="260" t="s">
        <v>82</v>
      </c>
      <c r="G344" s="75"/>
      <c r="H344" s="65" t="s">
        <v>16</v>
      </c>
      <c r="I344" s="243">
        <f t="shared" ref="I344:J344" ca="1" si="77">+I345+I346+I347</f>
        <v>10</v>
      </c>
      <c r="J344" s="78">
        <f t="shared" si="77"/>
        <v>0</v>
      </c>
      <c r="K344" s="48">
        <f t="shared" ref="K344:K347" ca="1" si="78">IF(I344&gt;0,J344*100/I344,0)</f>
        <v>0</v>
      </c>
      <c r="L344" s="60"/>
      <c r="M344" s="60"/>
      <c r="N344" s="60"/>
    </row>
    <row r="345" spans="1:14" ht="21.75" customHeight="1" x14ac:dyDescent="0.55000000000000004">
      <c r="A345" s="54"/>
      <c r="B345" s="55"/>
      <c r="C345" s="55"/>
      <c r="D345" s="72"/>
      <c r="E345" s="76"/>
      <c r="F345" s="74"/>
      <c r="G345" s="98" t="s">
        <v>143</v>
      </c>
      <c r="H345" s="65" t="s">
        <v>16</v>
      </c>
      <c r="I345" s="199">
        <f ca="1">IFERROR(__xludf.DUMMYFUNCTION("IMPORTRANGE(""https://docs.google.com/spreadsheets/d/1C3CXT74ZlgGe6_JY_1olB1XN4rF0dxEuIIF-xsYjHgg/edit?usp=sharing"",""งบกองทุน!ay66"")"),10)</f>
        <v>10</v>
      </c>
      <c r="J345" s="67">
        <v>0</v>
      </c>
      <c r="K345" s="48">
        <f t="shared" ca="1" si="78"/>
        <v>0</v>
      </c>
      <c r="L345" s="60"/>
      <c r="M345" s="60"/>
      <c r="N345" s="60"/>
    </row>
    <row r="346" spans="1:14" ht="21.75" customHeight="1" x14ac:dyDescent="0.55000000000000004">
      <c r="A346" s="54"/>
      <c r="B346" s="55"/>
      <c r="C346" s="55"/>
      <c r="D346" s="72"/>
      <c r="E346" s="76"/>
      <c r="F346" s="74"/>
      <c r="G346" s="75" t="s">
        <v>144</v>
      </c>
      <c r="H346" s="65" t="s">
        <v>16</v>
      </c>
      <c r="I346" s="199">
        <f ca="1">IFERROR(__xludf.DUMMYFUNCTION("IMPORTRANGE(""https://docs.google.com/spreadsheets/d/1C3CXT74ZlgGe6_JY_1olB1XN4rF0dxEuIIF-xsYjHgg/edit?usp=sharing"",""งบกองทุน!az66"")"),0)</f>
        <v>0</v>
      </c>
      <c r="J346" s="66">
        <v>0</v>
      </c>
      <c r="K346" s="48">
        <f t="shared" ca="1" si="78"/>
        <v>0</v>
      </c>
      <c r="L346" s="60"/>
      <c r="M346" s="60"/>
      <c r="N346" s="60"/>
    </row>
    <row r="347" spans="1:14" ht="21.75" customHeight="1" x14ac:dyDescent="0.55000000000000004">
      <c r="A347" s="54"/>
      <c r="B347" s="55"/>
      <c r="C347" s="55"/>
      <c r="D347" s="72"/>
      <c r="E347" s="76"/>
      <c r="F347" s="74"/>
      <c r="G347" s="75" t="s">
        <v>145</v>
      </c>
      <c r="H347" s="65" t="s">
        <v>16</v>
      </c>
      <c r="I347" s="66">
        <f ca="1">IFERROR(__xludf.DUMMYFUNCTION("IMPORTRANGE(""https://docs.google.com/spreadsheets/d/1C3CXT74ZlgGe6_JY_1olB1XN4rF0dxEuIIF-xsYjHgg/edit?usp=sharing"",""งบกองทุน!Ba66"")"),0)</f>
        <v>0</v>
      </c>
      <c r="J347" s="66">
        <v>0</v>
      </c>
      <c r="K347" s="48">
        <f t="shared" ca="1" si="78"/>
        <v>0</v>
      </c>
      <c r="L347" s="60"/>
      <c r="M347" s="60"/>
      <c r="N347" s="60"/>
    </row>
    <row r="348" spans="1:14" ht="21.75" customHeight="1" x14ac:dyDescent="0.55000000000000004">
      <c r="A348" s="54"/>
      <c r="B348" s="55"/>
      <c r="C348" s="55"/>
      <c r="D348" s="72"/>
      <c r="E348" s="73" t="s">
        <v>35</v>
      </c>
      <c r="F348" s="74"/>
      <c r="G348" s="75"/>
      <c r="H348" s="65"/>
      <c r="I348" s="66"/>
      <c r="J348" s="67">
        <v>0</v>
      </c>
      <c r="K348" s="48"/>
      <c r="L348" s="60"/>
      <c r="M348" s="60"/>
      <c r="N348" s="60"/>
    </row>
    <row r="349" spans="1:14" ht="21.75" customHeight="1" x14ac:dyDescent="0.55000000000000004">
      <c r="A349" s="54"/>
      <c r="B349" s="55"/>
      <c r="C349" s="55"/>
      <c r="D349" s="80">
        <v>3</v>
      </c>
      <c r="E349" s="81" t="s">
        <v>36</v>
      </c>
      <c r="F349" s="82"/>
      <c r="G349" s="83"/>
      <c r="H349" s="65"/>
      <c r="I349" s="66"/>
      <c r="J349" s="84">
        <v>0</v>
      </c>
      <c r="K349" s="48"/>
      <c r="L349" s="60"/>
      <c r="M349" s="60"/>
      <c r="N349" s="60"/>
    </row>
    <row r="350" spans="1:14" ht="21.75" customHeight="1" x14ac:dyDescent="0.55000000000000004">
      <c r="A350" s="221"/>
      <c r="B350" s="222">
        <v>5</v>
      </c>
      <c r="C350" s="223" t="s">
        <v>146</v>
      </c>
      <c r="D350" s="223"/>
      <c r="E350" s="223"/>
      <c r="F350" s="223"/>
      <c r="G350" s="224"/>
      <c r="H350" s="225" t="s">
        <v>103</v>
      </c>
      <c r="I350" s="226">
        <f ca="1">I359</f>
        <v>0</v>
      </c>
      <c r="J350" s="226">
        <f>+J359</f>
        <v>0</v>
      </c>
      <c r="K350" s="227">
        <f ca="1">IF(I350&gt;0,J350*100/I350,0)</f>
        <v>0</v>
      </c>
      <c r="L350" s="228">
        <f t="shared" ref="L350:M350" ca="1" si="79">SUM(L351:L352)</f>
        <v>0</v>
      </c>
      <c r="M350" s="228">
        <f t="shared" si="79"/>
        <v>0</v>
      </c>
      <c r="N350" s="228">
        <f t="shared" ref="N350:N354" ca="1" si="80">+IF(L350&gt;0,M350*100/L350,0)</f>
        <v>0</v>
      </c>
    </row>
    <row r="351" spans="1:14" ht="21.75" customHeight="1" x14ac:dyDescent="0.55000000000000004">
      <c r="A351" s="41"/>
      <c r="B351" s="42"/>
      <c r="C351" s="42" t="s">
        <v>17</v>
      </c>
      <c r="D351" s="43" t="s">
        <v>18</v>
      </c>
      <c r="E351" s="44"/>
      <c r="F351" s="44"/>
      <c r="G351" s="45" t="s">
        <v>19</v>
      </c>
      <c r="H351" s="46" t="s">
        <v>20</v>
      </c>
      <c r="I351" s="47" t="s">
        <v>21</v>
      </c>
      <c r="J351" s="47"/>
      <c r="K351" s="48"/>
      <c r="L351" s="49">
        <v>0</v>
      </c>
      <c r="M351" s="52">
        <v>0</v>
      </c>
      <c r="N351" s="52">
        <f t="shared" si="80"/>
        <v>0</v>
      </c>
    </row>
    <row r="352" spans="1:14" ht="21.75" customHeight="1" x14ac:dyDescent="0.55000000000000004">
      <c r="A352" s="41"/>
      <c r="B352" s="42"/>
      <c r="C352" s="42"/>
      <c r="D352" s="50"/>
      <c r="E352" s="44"/>
      <c r="F352" s="44" t="s">
        <v>21</v>
      </c>
      <c r="G352" s="45" t="s">
        <v>22</v>
      </c>
      <c r="H352" s="46" t="s">
        <v>20</v>
      </c>
      <c r="I352" s="47"/>
      <c r="J352" s="47"/>
      <c r="K352" s="48"/>
      <c r="L352" s="49">
        <f t="shared" ref="L352:M352" ca="1" si="81">SUM(L353:L354)</f>
        <v>0</v>
      </c>
      <c r="M352" s="52">
        <f t="shared" si="81"/>
        <v>0</v>
      </c>
      <c r="N352" s="52">
        <f t="shared" ca="1" si="80"/>
        <v>0</v>
      </c>
    </row>
    <row r="353" spans="1:14" ht="21.75" customHeight="1" x14ac:dyDescent="0.55000000000000004">
      <c r="A353" s="41"/>
      <c r="B353" s="42"/>
      <c r="C353" s="42"/>
      <c r="D353" s="50"/>
      <c r="E353" s="44"/>
      <c r="F353" s="44"/>
      <c r="G353" s="51" t="s">
        <v>110</v>
      </c>
      <c r="H353" s="46" t="s">
        <v>20</v>
      </c>
      <c r="I353" s="47"/>
      <c r="J353" s="47"/>
      <c r="K353" s="48"/>
      <c r="L353" s="52">
        <f ca="1">IFERROR(__xludf.DUMMYFUNCTION("IMPORTRANGE(""https://docs.google.com/spreadsheets/d/1C3CXT74ZlgGe6_JY_1olB1XN4rF0dxEuIIF-xsYjHgg/edit?usp=sharing"",""งบกองทุน!Bc66"")"),0)</f>
        <v>0</v>
      </c>
      <c r="M353" s="52">
        <v>0</v>
      </c>
      <c r="N353" s="52">
        <f t="shared" ca="1" si="80"/>
        <v>0</v>
      </c>
    </row>
    <row r="354" spans="1:14" ht="21.75" customHeight="1" x14ac:dyDescent="0.55000000000000004">
      <c r="A354" s="41"/>
      <c r="B354" s="42"/>
      <c r="C354" s="42"/>
      <c r="D354" s="50"/>
      <c r="E354" s="44"/>
      <c r="F354" s="44"/>
      <c r="G354" s="51" t="s">
        <v>111</v>
      </c>
      <c r="H354" s="46" t="s">
        <v>20</v>
      </c>
      <c r="I354" s="47"/>
      <c r="J354" s="47"/>
      <c r="K354" s="48"/>
      <c r="L354" s="52">
        <f ca="1">IFERROR(__xludf.DUMMYFUNCTION("IMPORTRANGE(""https://docs.google.com/spreadsheets/d/1C3CXT74ZlgGe6_JY_1olB1XN4rF0dxEuIIF-xsYjHgg/edit?usp=sharing"",""งบกองทุน!Bd66"")"),0)</f>
        <v>0</v>
      </c>
      <c r="M354" s="52">
        <f>SUM(M355:M358)</f>
        <v>0</v>
      </c>
      <c r="N354" s="52">
        <f t="shared" ca="1" si="80"/>
        <v>0</v>
      </c>
    </row>
    <row r="355" spans="1:14" ht="21.75" customHeight="1" x14ac:dyDescent="0.55000000000000004">
      <c r="A355" s="229"/>
      <c r="B355" s="230"/>
      <c r="C355" s="42"/>
      <c r="D355" s="231"/>
      <c r="E355" s="44"/>
      <c r="F355" s="44"/>
      <c r="G355" s="45" t="s">
        <v>112</v>
      </c>
      <c r="H355" s="46" t="s">
        <v>20</v>
      </c>
      <c r="I355" s="66"/>
      <c r="J355" s="66"/>
      <c r="K355" s="232"/>
      <c r="L355" s="52"/>
      <c r="M355" s="52">
        <v>0</v>
      </c>
      <c r="N355" s="52"/>
    </row>
    <row r="356" spans="1:14" ht="21.75" customHeight="1" x14ac:dyDescent="0.55000000000000004">
      <c r="A356" s="229"/>
      <c r="B356" s="230"/>
      <c r="C356" s="42"/>
      <c r="D356" s="231"/>
      <c r="E356" s="44"/>
      <c r="F356" s="44"/>
      <c r="G356" s="45" t="s">
        <v>113</v>
      </c>
      <c r="H356" s="46" t="s">
        <v>20</v>
      </c>
      <c r="I356" s="66"/>
      <c r="J356" s="66"/>
      <c r="K356" s="232"/>
      <c r="L356" s="52"/>
      <c r="M356" s="52">
        <v>0</v>
      </c>
      <c r="N356" s="52"/>
    </row>
    <row r="357" spans="1:14" ht="21.75" customHeight="1" x14ac:dyDescent="0.55000000000000004">
      <c r="A357" s="229"/>
      <c r="B357" s="230"/>
      <c r="C357" s="42"/>
      <c r="D357" s="231"/>
      <c r="E357" s="44"/>
      <c r="F357" s="44"/>
      <c r="G357" s="45" t="s">
        <v>114</v>
      </c>
      <c r="H357" s="46" t="s">
        <v>20</v>
      </c>
      <c r="I357" s="66"/>
      <c r="J357" s="66"/>
      <c r="K357" s="232"/>
      <c r="L357" s="52"/>
      <c r="M357" s="52">
        <v>0</v>
      </c>
      <c r="N357" s="52"/>
    </row>
    <row r="358" spans="1:14" ht="21.75" customHeight="1" x14ac:dyDescent="0.55000000000000004">
      <c r="A358" s="229"/>
      <c r="B358" s="230"/>
      <c r="C358" s="42"/>
      <c r="D358" s="231"/>
      <c r="E358" s="44"/>
      <c r="F358" s="44"/>
      <c r="G358" s="45" t="s">
        <v>115</v>
      </c>
      <c r="H358" s="46" t="s">
        <v>20</v>
      </c>
      <c r="I358" s="66"/>
      <c r="J358" s="66"/>
      <c r="K358" s="232"/>
      <c r="L358" s="52"/>
      <c r="M358" s="52">
        <v>0</v>
      </c>
      <c r="N358" s="52"/>
    </row>
    <row r="359" spans="1:14" ht="21.75" customHeight="1" x14ac:dyDescent="0.55000000000000004">
      <c r="A359" s="54"/>
      <c r="B359" s="55"/>
      <c r="C359" s="261" t="s">
        <v>147</v>
      </c>
      <c r="D359" s="261"/>
      <c r="E359" s="262"/>
      <c r="F359" s="262"/>
      <c r="G359" s="263"/>
      <c r="H359" s="135" t="s">
        <v>103</v>
      </c>
      <c r="I359" s="136">
        <f ca="1">IFERROR(__xludf.DUMMYFUNCTION("IMPORTRANGE(""https://docs.google.com/spreadsheets/d/1C3CXT74ZlgGe6_JY_1olB1XN4rF0dxEuIIF-xsYjHgg/edit?usp=sharing"",""งบกองทุน!BE66"")"),0)</f>
        <v>0</v>
      </c>
      <c r="J359" s="136">
        <f>+J376</f>
        <v>0</v>
      </c>
      <c r="K359" s="137">
        <f t="shared" ref="K359:K408" ca="1" si="82">IF(I359&gt;0,J359*100/I359,0)</f>
        <v>0</v>
      </c>
      <c r="L359" s="139"/>
      <c r="M359" s="49"/>
      <c r="N359" s="139"/>
    </row>
    <row r="360" spans="1:14" ht="21.75" customHeight="1" x14ac:dyDescent="0.55000000000000004">
      <c r="A360" s="249"/>
      <c r="B360" s="250"/>
      <c r="C360" s="250"/>
      <c r="D360" s="251"/>
      <c r="E360" s="72" t="s">
        <v>148</v>
      </c>
      <c r="F360" s="74"/>
      <c r="G360" s="75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IFERROR(__xludf.DUMMYFUNCTION("IMPORTRANGE(""https://docs.google.com/spreadsheets/d/1C3CXT74ZlgGe6_JY_1olB1XN4rF0dxEuIIF-xsYjHgg/edit?usp=sharing"",""งบกองทุน!BE66"")"),0)</f>
        <v>0</v>
      </c>
      <c r="J360" s="265">
        <f t="shared" ref="J360:J361" si="83">+J362+J364+J366</f>
        <v>0</v>
      </c>
      <c r="K360" s="79">
        <f t="shared" ca="1" si="82"/>
        <v>0</v>
      </c>
      <c r="L360" s="60"/>
      <c r="M360" s="52"/>
      <c r="N360" s="60"/>
    </row>
    <row r="361" spans="1:14" ht="21.75" customHeight="1" x14ac:dyDescent="0.55000000000000004">
      <c r="A361" s="249"/>
      <c r="B361" s="250"/>
      <c r="C361" s="250"/>
      <c r="D361" s="251"/>
      <c r="E361" s="74"/>
      <c r="F361" s="74"/>
      <c r="G361" s="75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IFERROR(__xludf.DUMMYFUNCTION("IMPORTRANGE(""https://docs.google.com/spreadsheets/d/1C3CXT74ZlgGe6_JY_1olB1XN4rF0dxEuIIF-xsYjHgg/edit?usp=sharing"",""งบกองทุน!Bf66"")"),0)</f>
        <v>0</v>
      </c>
      <c r="J361" s="265">
        <f t="shared" si="83"/>
        <v>0</v>
      </c>
      <c r="K361" s="79">
        <f t="shared" ca="1" si="82"/>
        <v>0</v>
      </c>
      <c r="L361" s="60"/>
      <c r="M361" s="60"/>
      <c r="N361" s="60"/>
    </row>
    <row r="362" spans="1:14" ht="21.75" customHeight="1" x14ac:dyDescent="0.55000000000000004">
      <c r="A362" s="249"/>
      <c r="B362" s="250"/>
      <c r="C362" s="250"/>
      <c r="D362" s="251"/>
      <c r="E362" s="74"/>
      <c r="F362" s="242" t="s">
        <v>149</v>
      </c>
      <c r="G362" s="266"/>
      <c r="H362" s="267" t="s">
        <v>103</v>
      </c>
      <c r="I362" s="47">
        <v>0</v>
      </c>
      <c r="J362" s="66">
        <v>0</v>
      </c>
      <c r="K362" s="48">
        <f t="shared" si="82"/>
        <v>0</v>
      </c>
      <c r="L362" s="60"/>
      <c r="M362" s="60"/>
      <c r="N362" s="60"/>
    </row>
    <row r="363" spans="1:14" ht="21.75" customHeight="1" x14ac:dyDescent="0.55000000000000004">
      <c r="A363" s="249"/>
      <c r="B363" s="250"/>
      <c r="C363" s="250"/>
      <c r="D363" s="251"/>
      <c r="E363" s="74"/>
      <c r="F363" s="74"/>
      <c r="G363" s="266"/>
      <c r="H363" s="267" t="s">
        <v>15</v>
      </c>
      <c r="I363" s="47">
        <v>0</v>
      </c>
      <c r="J363" s="66">
        <v>0</v>
      </c>
      <c r="K363" s="48">
        <f t="shared" si="82"/>
        <v>0</v>
      </c>
      <c r="L363" s="60"/>
      <c r="M363" s="60"/>
      <c r="N363" s="60"/>
    </row>
    <row r="364" spans="1:14" ht="21.75" customHeight="1" x14ac:dyDescent="0.55000000000000004">
      <c r="A364" s="249"/>
      <c r="B364" s="250"/>
      <c r="C364" s="250"/>
      <c r="D364" s="251"/>
      <c r="E364" s="74"/>
      <c r="F364" s="242" t="s">
        <v>150</v>
      </c>
      <c r="G364" s="266"/>
      <c r="H364" s="267" t="s">
        <v>103</v>
      </c>
      <c r="I364" s="47">
        <v>0</v>
      </c>
      <c r="J364" s="66">
        <v>0</v>
      </c>
      <c r="K364" s="48">
        <f t="shared" si="82"/>
        <v>0</v>
      </c>
      <c r="L364" s="60"/>
      <c r="M364" s="60"/>
      <c r="N364" s="60"/>
    </row>
    <row r="365" spans="1:14" ht="21.75" customHeight="1" x14ac:dyDescent="0.55000000000000004">
      <c r="A365" s="249"/>
      <c r="B365" s="250"/>
      <c r="C365" s="250"/>
      <c r="D365" s="251"/>
      <c r="E365" s="74"/>
      <c r="F365" s="74"/>
      <c r="G365" s="266"/>
      <c r="H365" s="267" t="s">
        <v>15</v>
      </c>
      <c r="I365" s="47">
        <v>0</v>
      </c>
      <c r="J365" s="66">
        <v>0</v>
      </c>
      <c r="K365" s="48">
        <f t="shared" si="82"/>
        <v>0</v>
      </c>
      <c r="L365" s="60"/>
      <c r="M365" s="60"/>
      <c r="N365" s="60"/>
    </row>
    <row r="366" spans="1:14" ht="21.75" customHeight="1" x14ac:dyDescent="0.55000000000000004">
      <c r="A366" s="249"/>
      <c r="B366" s="250"/>
      <c r="C366" s="250"/>
      <c r="D366" s="251"/>
      <c r="E366" s="74"/>
      <c r="F366" s="242" t="s">
        <v>151</v>
      </c>
      <c r="G366" s="266"/>
      <c r="H366" s="267" t="s">
        <v>103</v>
      </c>
      <c r="I366" s="47">
        <v>0</v>
      </c>
      <c r="J366" s="66">
        <v>0</v>
      </c>
      <c r="K366" s="48">
        <f t="shared" si="82"/>
        <v>0</v>
      </c>
      <c r="L366" s="60"/>
      <c r="M366" s="60"/>
      <c r="N366" s="60"/>
    </row>
    <row r="367" spans="1:14" ht="21.75" customHeight="1" x14ac:dyDescent="0.55000000000000004">
      <c r="A367" s="249"/>
      <c r="B367" s="250"/>
      <c r="C367" s="250"/>
      <c r="D367" s="251"/>
      <c r="E367" s="74"/>
      <c r="F367" s="74"/>
      <c r="G367" s="74"/>
      <c r="H367" s="267" t="s">
        <v>15</v>
      </c>
      <c r="I367" s="47">
        <v>0</v>
      </c>
      <c r="J367" s="66">
        <v>0</v>
      </c>
      <c r="K367" s="48">
        <f t="shared" si="82"/>
        <v>0</v>
      </c>
      <c r="L367" s="60"/>
      <c r="M367" s="60"/>
      <c r="N367" s="60"/>
    </row>
    <row r="368" spans="1:14" ht="21.75" customHeight="1" x14ac:dyDescent="0.55000000000000004">
      <c r="A368" s="249"/>
      <c r="B368" s="250"/>
      <c r="C368" s="250"/>
      <c r="D368" s="251"/>
      <c r="E368" s="154" t="s">
        <v>152</v>
      </c>
      <c r="F368" s="74"/>
      <c r="G368" s="75"/>
      <c r="H368" s="264" t="s">
        <v>103</v>
      </c>
      <c r="I368" s="265">
        <f ca="1">+I359</f>
        <v>0</v>
      </c>
      <c r="J368" s="78">
        <f t="shared" ref="J368:J369" si="84">+J370+J372+J374</f>
        <v>0</v>
      </c>
      <c r="K368" s="79">
        <f t="shared" ca="1" si="82"/>
        <v>0</v>
      </c>
      <c r="L368" s="60"/>
      <c r="M368" s="60"/>
      <c r="N368" s="60"/>
    </row>
    <row r="369" spans="1:14" ht="21.75" customHeight="1" x14ac:dyDescent="0.55000000000000004">
      <c r="A369" s="249"/>
      <c r="B369" s="250"/>
      <c r="C369" s="250"/>
      <c r="D369" s="251"/>
      <c r="E369" s="74"/>
      <c r="F369" s="74"/>
      <c r="G369" s="75"/>
      <c r="H369" s="264" t="s">
        <v>15</v>
      </c>
      <c r="I369" s="47">
        <f ca="1">I361</f>
        <v>0</v>
      </c>
      <c r="J369" s="78">
        <f t="shared" si="84"/>
        <v>0</v>
      </c>
      <c r="K369" s="48">
        <f t="shared" ca="1" si="82"/>
        <v>0</v>
      </c>
      <c r="L369" s="60"/>
      <c r="M369" s="60"/>
      <c r="N369" s="60"/>
    </row>
    <row r="370" spans="1:14" ht="21.75" customHeight="1" x14ac:dyDescent="0.55000000000000004">
      <c r="A370" s="249"/>
      <c r="B370" s="250"/>
      <c r="C370" s="250"/>
      <c r="D370" s="251"/>
      <c r="E370" s="74"/>
      <c r="F370" s="73" t="s">
        <v>153</v>
      </c>
      <c r="G370" s="266"/>
      <c r="H370" s="267" t="s">
        <v>103</v>
      </c>
      <c r="I370" s="47">
        <v>0</v>
      </c>
      <c r="J370" s="66">
        <v>0</v>
      </c>
      <c r="K370" s="48">
        <f t="shared" si="82"/>
        <v>0</v>
      </c>
      <c r="L370" s="60"/>
      <c r="M370" s="60"/>
      <c r="N370" s="60"/>
    </row>
    <row r="371" spans="1:14" ht="21.75" customHeight="1" x14ac:dyDescent="0.55000000000000004">
      <c r="A371" s="249"/>
      <c r="B371" s="250"/>
      <c r="C371" s="250"/>
      <c r="D371" s="251"/>
      <c r="E371" s="74"/>
      <c r="F371" s="74"/>
      <c r="G371" s="266"/>
      <c r="H371" s="267" t="s">
        <v>15</v>
      </c>
      <c r="I371" s="47">
        <v>0</v>
      </c>
      <c r="J371" s="66">
        <v>0</v>
      </c>
      <c r="K371" s="48">
        <f t="shared" si="82"/>
        <v>0</v>
      </c>
      <c r="L371" s="60"/>
      <c r="M371" s="60"/>
      <c r="N371" s="60"/>
    </row>
    <row r="372" spans="1:14" ht="21.75" customHeight="1" x14ac:dyDescent="0.55000000000000004">
      <c r="A372" s="249"/>
      <c r="B372" s="250"/>
      <c r="C372" s="250"/>
      <c r="D372" s="251"/>
      <c r="E372" s="74"/>
      <c r="F372" s="73" t="s">
        <v>154</v>
      </c>
      <c r="G372" s="266"/>
      <c r="H372" s="267" t="s">
        <v>103</v>
      </c>
      <c r="I372" s="47">
        <v>0</v>
      </c>
      <c r="J372" s="66">
        <v>0</v>
      </c>
      <c r="K372" s="48">
        <f t="shared" si="82"/>
        <v>0</v>
      </c>
      <c r="L372" s="60"/>
      <c r="M372" s="60"/>
      <c r="N372" s="60"/>
    </row>
    <row r="373" spans="1:14" ht="21.75" customHeight="1" x14ac:dyDescent="0.55000000000000004">
      <c r="A373" s="249"/>
      <c r="B373" s="250"/>
      <c r="C373" s="250"/>
      <c r="D373" s="251"/>
      <c r="E373" s="74"/>
      <c r="F373" s="74"/>
      <c r="G373" s="266"/>
      <c r="H373" s="267" t="s">
        <v>15</v>
      </c>
      <c r="I373" s="47">
        <v>0</v>
      </c>
      <c r="J373" s="66">
        <v>0</v>
      </c>
      <c r="K373" s="48">
        <f t="shared" si="82"/>
        <v>0</v>
      </c>
      <c r="L373" s="60"/>
      <c r="M373" s="60"/>
      <c r="N373" s="60"/>
    </row>
    <row r="374" spans="1:14" ht="21.75" customHeight="1" x14ac:dyDescent="0.55000000000000004">
      <c r="A374" s="249"/>
      <c r="B374" s="250"/>
      <c r="C374" s="250"/>
      <c r="D374" s="251"/>
      <c r="E374" s="74"/>
      <c r="F374" s="73" t="s">
        <v>155</v>
      </c>
      <c r="G374" s="266"/>
      <c r="H374" s="267" t="s">
        <v>103</v>
      </c>
      <c r="I374" s="47">
        <v>0</v>
      </c>
      <c r="J374" s="66">
        <v>0</v>
      </c>
      <c r="K374" s="48">
        <f t="shared" si="82"/>
        <v>0</v>
      </c>
      <c r="L374" s="60"/>
      <c r="M374" s="60"/>
      <c r="N374" s="60"/>
    </row>
    <row r="375" spans="1:14" ht="21.75" customHeight="1" x14ac:dyDescent="0.55000000000000004">
      <c r="A375" s="249"/>
      <c r="B375" s="250"/>
      <c r="C375" s="250"/>
      <c r="D375" s="251"/>
      <c r="E375" s="74"/>
      <c r="F375" s="74"/>
      <c r="G375" s="75"/>
      <c r="H375" s="267" t="s">
        <v>15</v>
      </c>
      <c r="I375" s="47">
        <v>0</v>
      </c>
      <c r="J375" s="66">
        <v>0</v>
      </c>
      <c r="K375" s="48">
        <f t="shared" si="82"/>
        <v>0</v>
      </c>
      <c r="L375" s="60"/>
      <c r="M375" s="60"/>
      <c r="N375" s="60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0</v>
      </c>
      <c r="J376" s="78">
        <f t="shared" ref="J376:J377" si="85">+J378+J380+J382+J388</f>
        <v>0</v>
      </c>
      <c r="K376" s="79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4"/>
      <c r="F377" s="74"/>
      <c r="G377" s="75"/>
      <c r="H377" s="264" t="s">
        <v>15</v>
      </c>
      <c r="I377" s="47">
        <f ca="1">I361</f>
        <v>0</v>
      </c>
      <c r="J377" s="78">
        <f t="shared" si="85"/>
        <v>0</v>
      </c>
      <c r="K377" s="48">
        <f t="shared" ca="1" si="82"/>
        <v>0</v>
      </c>
      <c r="L377" s="60"/>
      <c r="M377" s="60"/>
      <c r="N377" s="60"/>
    </row>
    <row r="378" spans="1:14" ht="21.75" customHeight="1" x14ac:dyDescent="0.55000000000000004">
      <c r="A378" s="249"/>
      <c r="B378" s="250"/>
      <c r="C378" s="250"/>
      <c r="D378" s="251"/>
      <c r="E378" s="74"/>
      <c r="F378" s="73" t="s">
        <v>157</v>
      </c>
      <c r="G378" s="266"/>
      <c r="H378" s="267" t="s">
        <v>103</v>
      </c>
      <c r="I378" s="47">
        <v>0</v>
      </c>
      <c r="J378" s="66">
        <v>0</v>
      </c>
      <c r="K378" s="48">
        <f t="shared" si="82"/>
        <v>0</v>
      </c>
      <c r="L378" s="60"/>
      <c r="M378" s="60"/>
      <c r="N378" s="60"/>
    </row>
    <row r="379" spans="1:14" ht="21.75" customHeight="1" x14ac:dyDescent="0.55000000000000004">
      <c r="A379" s="249"/>
      <c r="B379" s="250"/>
      <c r="C379" s="250"/>
      <c r="D379" s="251"/>
      <c r="E379" s="74"/>
      <c r="F379" s="74"/>
      <c r="G379" s="266"/>
      <c r="H379" s="267" t="s">
        <v>15</v>
      </c>
      <c r="I379" s="47">
        <v>0</v>
      </c>
      <c r="J379" s="66">
        <v>0</v>
      </c>
      <c r="K379" s="48">
        <f t="shared" si="82"/>
        <v>0</v>
      </c>
      <c r="L379" s="60"/>
      <c r="M379" s="60"/>
      <c r="N379" s="60"/>
    </row>
    <row r="380" spans="1:14" ht="21.75" customHeight="1" x14ac:dyDescent="0.55000000000000004">
      <c r="A380" s="249"/>
      <c r="B380" s="250"/>
      <c r="C380" s="250"/>
      <c r="D380" s="251"/>
      <c r="E380" s="74"/>
      <c r="F380" s="73" t="s">
        <v>158</v>
      </c>
      <c r="G380" s="266"/>
      <c r="H380" s="267" t="s">
        <v>103</v>
      </c>
      <c r="I380" s="47">
        <v>0</v>
      </c>
      <c r="J380" s="66">
        <v>0</v>
      </c>
      <c r="K380" s="48">
        <f t="shared" si="82"/>
        <v>0</v>
      </c>
      <c r="L380" s="60"/>
      <c r="M380" s="60"/>
      <c r="N380" s="60"/>
    </row>
    <row r="381" spans="1:14" ht="21.75" customHeight="1" x14ac:dyDescent="0.55000000000000004">
      <c r="A381" s="249"/>
      <c r="B381" s="250"/>
      <c r="C381" s="250"/>
      <c r="D381" s="251"/>
      <c r="E381" s="74"/>
      <c r="F381" s="74"/>
      <c r="G381" s="266"/>
      <c r="H381" s="267" t="s">
        <v>15</v>
      </c>
      <c r="I381" s="47">
        <v>0</v>
      </c>
      <c r="J381" s="66">
        <v>0</v>
      </c>
      <c r="K381" s="48">
        <f t="shared" si="82"/>
        <v>0</v>
      </c>
      <c r="L381" s="60"/>
      <c r="M381" s="60"/>
      <c r="N381" s="60"/>
    </row>
    <row r="382" spans="1:14" ht="21.75" customHeight="1" x14ac:dyDescent="0.55000000000000004">
      <c r="A382" s="249"/>
      <c r="B382" s="250"/>
      <c r="C382" s="250"/>
      <c r="D382" s="251"/>
      <c r="E382" s="74"/>
      <c r="F382" s="73" t="s">
        <v>159</v>
      </c>
      <c r="G382" s="266"/>
      <c r="H382" s="267" t="s">
        <v>103</v>
      </c>
      <c r="I382" s="47">
        <v>0</v>
      </c>
      <c r="J382" s="78">
        <f t="shared" ref="J382:J383" si="86">J384+J386</f>
        <v>0</v>
      </c>
      <c r="K382" s="48">
        <f t="shared" si="82"/>
        <v>0</v>
      </c>
      <c r="L382" s="60"/>
      <c r="M382" s="60"/>
      <c r="N382" s="60"/>
    </row>
    <row r="383" spans="1:14" ht="21.75" customHeight="1" x14ac:dyDescent="0.55000000000000004">
      <c r="A383" s="249"/>
      <c r="B383" s="250"/>
      <c r="C383" s="250"/>
      <c r="D383" s="251"/>
      <c r="E383" s="74"/>
      <c r="F383" s="74"/>
      <c r="G383" s="74"/>
      <c r="H383" s="267" t="s">
        <v>15</v>
      </c>
      <c r="I383" s="47">
        <v>0</v>
      </c>
      <c r="J383" s="78">
        <f t="shared" si="86"/>
        <v>0</v>
      </c>
      <c r="K383" s="48">
        <f t="shared" si="82"/>
        <v>0</v>
      </c>
      <c r="L383" s="60"/>
      <c r="M383" s="60"/>
      <c r="N383" s="60"/>
    </row>
    <row r="384" spans="1:14" ht="21.75" customHeight="1" x14ac:dyDescent="0.55000000000000004">
      <c r="A384" s="249"/>
      <c r="B384" s="250"/>
      <c r="C384" s="250"/>
      <c r="D384" s="251"/>
      <c r="E384" s="74"/>
      <c r="F384" s="74"/>
      <c r="G384" s="73" t="s">
        <v>160</v>
      </c>
      <c r="H384" s="267" t="s">
        <v>103</v>
      </c>
      <c r="I384" s="47">
        <v>0</v>
      </c>
      <c r="J384" s="66">
        <v>0</v>
      </c>
      <c r="K384" s="48">
        <f t="shared" si="82"/>
        <v>0</v>
      </c>
      <c r="L384" s="60"/>
      <c r="M384" s="60"/>
      <c r="N384" s="60"/>
    </row>
    <row r="385" spans="1:14" ht="21.75" customHeight="1" x14ac:dyDescent="0.55000000000000004">
      <c r="A385" s="249"/>
      <c r="B385" s="250"/>
      <c r="C385" s="250"/>
      <c r="D385" s="251"/>
      <c r="E385" s="74"/>
      <c r="F385" s="74"/>
      <c r="G385" s="74"/>
      <c r="H385" s="267" t="s">
        <v>15</v>
      </c>
      <c r="I385" s="47">
        <v>0</v>
      </c>
      <c r="J385" s="66">
        <v>0</v>
      </c>
      <c r="K385" s="48">
        <f t="shared" si="82"/>
        <v>0</v>
      </c>
      <c r="L385" s="60"/>
      <c r="M385" s="60"/>
      <c r="N385" s="60"/>
    </row>
    <row r="386" spans="1:14" ht="21.75" customHeight="1" x14ac:dyDescent="0.55000000000000004">
      <c r="A386" s="249"/>
      <c r="B386" s="250"/>
      <c r="C386" s="250"/>
      <c r="D386" s="251"/>
      <c r="E386" s="74"/>
      <c r="F386" s="74"/>
      <c r="G386" s="73" t="s">
        <v>161</v>
      </c>
      <c r="H386" s="267" t="s">
        <v>103</v>
      </c>
      <c r="I386" s="47">
        <v>0</v>
      </c>
      <c r="J386" s="66">
        <v>0</v>
      </c>
      <c r="K386" s="48">
        <f t="shared" si="82"/>
        <v>0</v>
      </c>
      <c r="L386" s="60"/>
      <c r="M386" s="60"/>
      <c r="N386" s="60"/>
    </row>
    <row r="387" spans="1:14" ht="21.75" customHeight="1" x14ac:dyDescent="0.55000000000000004">
      <c r="A387" s="249"/>
      <c r="B387" s="250"/>
      <c r="C387" s="250"/>
      <c r="D387" s="251"/>
      <c r="E387" s="74"/>
      <c r="F387" s="74"/>
      <c r="G387" s="75"/>
      <c r="H387" s="267" t="s">
        <v>15</v>
      </c>
      <c r="I387" s="47">
        <v>0</v>
      </c>
      <c r="J387" s="66">
        <v>0</v>
      </c>
      <c r="K387" s="48">
        <f t="shared" si="82"/>
        <v>0</v>
      </c>
      <c r="L387" s="60"/>
      <c r="M387" s="60"/>
      <c r="N387" s="60"/>
    </row>
    <row r="388" spans="1:14" ht="21.75" customHeight="1" x14ac:dyDescent="0.55000000000000004">
      <c r="A388" s="249"/>
      <c r="B388" s="250"/>
      <c r="C388" s="250"/>
      <c r="D388" s="251"/>
      <c r="E388" s="74"/>
      <c r="F388" s="73" t="s">
        <v>162</v>
      </c>
      <c r="G388" s="266"/>
      <c r="H388" s="267" t="s">
        <v>103</v>
      </c>
      <c r="I388" s="47">
        <v>0</v>
      </c>
      <c r="J388" s="66">
        <v>0</v>
      </c>
      <c r="K388" s="48">
        <f t="shared" si="82"/>
        <v>0</v>
      </c>
      <c r="L388" s="60"/>
      <c r="M388" s="60"/>
      <c r="N388" s="60"/>
    </row>
    <row r="389" spans="1:14" ht="21.75" customHeight="1" x14ac:dyDescent="0.55000000000000004">
      <c r="A389" s="276"/>
      <c r="B389" s="277"/>
      <c r="C389" s="277"/>
      <c r="D389" s="278"/>
      <c r="E389" s="203"/>
      <c r="F389" s="203"/>
      <c r="G389" s="203"/>
      <c r="H389" s="279" t="s">
        <v>15</v>
      </c>
      <c r="I389" s="299">
        <v>0</v>
      </c>
      <c r="J389" s="66">
        <v>0</v>
      </c>
      <c r="K389" s="113">
        <f t="shared" si="82"/>
        <v>0</v>
      </c>
      <c r="L389" s="114"/>
      <c r="M389" s="114"/>
      <c r="N389" s="114"/>
    </row>
    <row r="390" spans="1:14" ht="21.75" customHeight="1" x14ac:dyDescent="0.55000000000000004">
      <c r="A390" s="54"/>
      <c r="B390" s="55"/>
      <c r="C390" s="261" t="s">
        <v>163</v>
      </c>
      <c r="D390" s="261"/>
      <c r="E390" s="262"/>
      <c r="F390" s="262"/>
      <c r="G390" s="263"/>
      <c r="H390" s="135" t="s">
        <v>103</v>
      </c>
      <c r="I390" s="136">
        <f ca="1">IFERROR(__xludf.DUMMYFUNCTION("IMPORTRANGE(""https://docs.google.com/spreadsheets/d/1C3CXT74ZlgGe6_JY_1olB1XN4rF0dxEuIIF-xsYjHgg/edit?usp=sharing"",""งบกองทุน!cd66"")"),0)</f>
        <v>0</v>
      </c>
      <c r="J390" s="136">
        <f>J391</f>
        <v>0</v>
      </c>
      <c r="K390" s="137">
        <f t="shared" ca="1" si="82"/>
        <v>0</v>
      </c>
      <c r="L390" s="139"/>
      <c r="M390" s="139"/>
      <c r="N390" s="139"/>
    </row>
    <row r="391" spans="1:14" ht="21.75" customHeight="1" x14ac:dyDescent="0.55000000000000004">
      <c r="A391" s="54"/>
      <c r="B391" s="55"/>
      <c r="C391" s="55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IFERROR(__xludf.DUMMYFUNCTION("IMPORTRANGE(""https://docs.google.com/spreadsheets/d/1C3CXT74ZlgGe6_JY_1olB1XN4rF0dxEuIIF-xsYjHgg/edit?usp=sharing"",""งบกองทุน!cd66"")"),0)</f>
        <v>0</v>
      </c>
      <c r="J391" s="265">
        <f t="shared" ref="J391:J392" si="87">J393+J401+J407</f>
        <v>0</v>
      </c>
      <c r="K391" s="48">
        <f t="shared" ca="1" si="82"/>
        <v>0</v>
      </c>
      <c r="L391" s="60"/>
      <c r="M391" s="60"/>
      <c r="N391" s="60"/>
    </row>
    <row r="392" spans="1:14" ht="21.75" customHeight="1" x14ac:dyDescent="0.55000000000000004">
      <c r="A392" s="54"/>
      <c r="B392" s="55"/>
      <c r="C392" s="55"/>
      <c r="D392" s="72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IFERROR(__xludf.DUMMYFUNCTION("IMPORTRANGE(""https://docs.google.com/spreadsheets/d/1C3CXT74ZlgGe6_JY_1olB1XN4rF0dxEuIIF-xsYjHgg/edit?usp=sharing"",""งบกองทุน!cc66"")"),0)</f>
        <v>0</v>
      </c>
      <c r="J392" s="265">
        <f t="shared" si="87"/>
        <v>0</v>
      </c>
      <c r="K392" s="79">
        <f t="shared" ca="1" si="82"/>
        <v>0</v>
      </c>
      <c r="L392" s="60"/>
      <c r="M392" s="60"/>
      <c r="N392" s="60"/>
    </row>
    <row r="393" spans="1:14" ht="21.75" customHeight="1" x14ac:dyDescent="0.55000000000000004">
      <c r="A393" s="54"/>
      <c r="B393" s="55"/>
      <c r="C393" s="55"/>
      <c r="D393" s="251"/>
      <c r="E393" s="251" t="s">
        <v>165</v>
      </c>
      <c r="F393" s="74"/>
      <c r="G393" s="75"/>
      <c r="H393" s="267" t="s">
        <v>103</v>
      </c>
      <c r="I393" s="47">
        <v>0</v>
      </c>
      <c r="J393" s="47">
        <f t="shared" ref="J393:J394" si="88">J395+J397+J399</f>
        <v>0</v>
      </c>
      <c r="K393" s="48">
        <f t="shared" si="82"/>
        <v>0</v>
      </c>
      <c r="L393" s="60"/>
      <c r="M393" s="60"/>
      <c r="N393" s="60"/>
    </row>
    <row r="394" spans="1:14" ht="21.75" customHeight="1" x14ac:dyDescent="0.55000000000000004">
      <c r="A394" s="54"/>
      <c r="B394" s="55"/>
      <c r="C394" s="55"/>
      <c r="D394" s="72"/>
      <c r="E394" s="74"/>
      <c r="F394" s="74"/>
      <c r="G394" s="75"/>
      <c r="H394" s="267" t="s">
        <v>15</v>
      </c>
      <c r="I394" s="47">
        <v>0</v>
      </c>
      <c r="J394" s="47">
        <f t="shared" si="88"/>
        <v>0</v>
      </c>
      <c r="K394" s="48">
        <f t="shared" si="82"/>
        <v>0</v>
      </c>
      <c r="L394" s="60"/>
      <c r="M394" s="60"/>
      <c r="N394" s="60"/>
    </row>
    <row r="395" spans="1:14" ht="21.75" customHeight="1" x14ac:dyDescent="0.55000000000000004">
      <c r="A395" s="54"/>
      <c r="B395" s="55"/>
      <c r="C395" s="55"/>
      <c r="D395" s="72"/>
      <c r="E395" s="74"/>
      <c r="F395" s="242" t="s">
        <v>166</v>
      </c>
      <c r="G395" s="266"/>
      <c r="H395" s="267" t="s">
        <v>103</v>
      </c>
      <c r="I395" s="47">
        <v>0</v>
      </c>
      <c r="J395" s="66">
        <v>0</v>
      </c>
      <c r="K395" s="48">
        <f t="shared" si="82"/>
        <v>0</v>
      </c>
      <c r="L395" s="60"/>
      <c r="M395" s="60"/>
      <c r="N395" s="60"/>
    </row>
    <row r="396" spans="1:14" ht="21.75" customHeight="1" x14ac:dyDescent="0.55000000000000004">
      <c r="A396" s="54"/>
      <c r="B396" s="55"/>
      <c r="C396" s="55"/>
      <c r="D396" s="72"/>
      <c r="E396" s="74"/>
      <c r="F396" s="74"/>
      <c r="G396" s="266"/>
      <c r="H396" s="267" t="s">
        <v>15</v>
      </c>
      <c r="I396" s="47">
        <v>0</v>
      </c>
      <c r="J396" s="66">
        <v>0</v>
      </c>
      <c r="K396" s="48">
        <f t="shared" si="82"/>
        <v>0</v>
      </c>
      <c r="L396" s="60"/>
      <c r="M396" s="60"/>
      <c r="N396" s="60"/>
    </row>
    <row r="397" spans="1:14" ht="21.75" customHeight="1" x14ac:dyDescent="0.55000000000000004">
      <c r="A397" s="54"/>
      <c r="B397" s="55"/>
      <c r="C397" s="55"/>
      <c r="D397" s="72"/>
      <c r="E397" s="74"/>
      <c r="F397" s="242" t="s">
        <v>167</v>
      </c>
      <c r="G397" s="266"/>
      <c r="H397" s="267" t="s">
        <v>103</v>
      </c>
      <c r="I397" s="47">
        <v>0</v>
      </c>
      <c r="J397" s="66">
        <v>0</v>
      </c>
      <c r="K397" s="48">
        <f t="shared" si="82"/>
        <v>0</v>
      </c>
      <c r="L397" s="60"/>
      <c r="M397" s="60"/>
      <c r="N397" s="60"/>
    </row>
    <row r="398" spans="1:14" ht="21.75" customHeight="1" x14ac:dyDescent="0.55000000000000004">
      <c r="A398" s="54"/>
      <c r="B398" s="55"/>
      <c r="C398" s="55"/>
      <c r="D398" s="72"/>
      <c r="E398" s="74"/>
      <c r="F398" s="74"/>
      <c r="G398" s="266"/>
      <c r="H398" s="267" t="s">
        <v>15</v>
      </c>
      <c r="I398" s="47">
        <v>0</v>
      </c>
      <c r="J398" s="66">
        <v>0</v>
      </c>
      <c r="K398" s="48">
        <f t="shared" si="82"/>
        <v>0</v>
      </c>
      <c r="L398" s="60"/>
      <c r="M398" s="60"/>
      <c r="N398" s="60"/>
    </row>
    <row r="399" spans="1:14" ht="21.75" customHeight="1" x14ac:dyDescent="0.55000000000000004">
      <c r="A399" s="54"/>
      <c r="B399" s="55"/>
      <c r="C399" s="55"/>
      <c r="D399" s="72"/>
      <c r="E399" s="74"/>
      <c r="F399" s="242" t="s">
        <v>168</v>
      </c>
      <c r="G399" s="266"/>
      <c r="H399" s="267" t="s">
        <v>103</v>
      </c>
      <c r="I399" s="47">
        <v>0</v>
      </c>
      <c r="J399" s="66">
        <v>0</v>
      </c>
      <c r="K399" s="48">
        <f t="shared" si="82"/>
        <v>0</v>
      </c>
      <c r="L399" s="60"/>
      <c r="M399" s="60"/>
      <c r="N399" s="60"/>
    </row>
    <row r="400" spans="1:14" ht="21.75" customHeight="1" x14ac:dyDescent="0.55000000000000004">
      <c r="A400" s="54"/>
      <c r="B400" s="55"/>
      <c r="C400" s="55"/>
      <c r="D400" s="72"/>
      <c r="E400" s="74"/>
      <c r="F400" s="74"/>
      <c r="G400" s="74"/>
      <c r="H400" s="267" t="s">
        <v>15</v>
      </c>
      <c r="I400" s="47">
        <v>0</v>
      </c>
      <c r="J400" s="66">
        <v>0</v>
      </c>
      <c r="K400" s="48">
        <f t="shared" si="82"/>
        <v>0</v>
      </c>
      <c r="L400" s="60"/>
      <c r="M400" s="60"/>
      <c r="N400" s="60"/>
    </row>
    <row r="401" spans="1:14" ht="21.75" customHeight="1" x14ac:dyDescent="0.55000000000000004">
      <c r="A401" s="54"/>
      <c r="B401" s="55"/>
      <c r="C401" s="55"/>
      <c r="D401" s="72"/>
      <c r="E401" s="73" t="s">
        <v>169</v>
      </c>
      <c r="F401" s="74"/>
      <c r="G401" s="266"/>
      <c r="H401" s="267" t="s">
        <v>103</v>
      </c>
      <c r="I401" s="47">
        <v>0</v>
      </c>
      <c r="J401" s="66">
        <f t="shared" ref="J401:J402" si="89">+J403+J405</f>
        <v>0</v>
      </c>
      <c r="K401" s="48">
        <f t="shared" si="82"/>
        <v>0</v>
      </c>
      <c r="L401" s="60"/>
      <c r="M401" s="60"/>
      <c r="N401" s="60"/>
    </row>
    <row r="402" spans="1:14" ht="21.75" customHeight="1" x14ac:dyDescent="0.55000000000000004">
      <c r="A402" s="54"/>
      <c r="B402" s="55"/>
      <c r="C402" s="55"/>
      <c r="D402" s="72"/>
      <c r="E402" s="74"/>
      <c r="F402" s="74"/>
      <c r="G402" s="74"/>
      <c r="H402" s="267" t="s">
        <v>15</v>
      </c>
      <c r="I402" s="47">
        <v>0</v>
      </c>
      <c r="J402" s="66">
        <f t="shared" si="89"/>
        <v>0</v>
      </c>
      <c r="K402" s="48">
        <f t="shared" si="82"/>
        <v>0</v>
      </c>
      <c r="L402" s="60"/>
      <c r="M402" s="60"/>
      <c r="N402" s="60"/>
    </row>
    <row r="403" spans="1:14" ht="21.75" customHeight="1" x14ac:dyDescent="0.55000000000000004">
      <c r="A403" s="54"/>
      <c r="B403" s="55"/>
      <c r="C403" s="55"/>
      <c r="D403" s="72"/>
      <c r="E403" s="74"/>
      <c r="F403" s="73" t="s">
        <v>170</v>
      </c>
      <c r="G403" s="74"/>
      <c r="H403" s="267" t="s">
        <v>103</v>
      </c>
      <c r="I403" s="47">
        <v>0</v>
      </c>
      <c r="J403" s="66">
        <v>0</v>
      </c>
      <c r="K403" s="48">
        <f t="shared" si="82"/>
        <v>0</v>
      </c>
      <c r="L403" s="60"/>
      <c r="M403" s="60"/>
      <c r="N403" s="60"/>
    </row>
    <row r="404" spans="1:14" ht="21.75" customHeight="1" x14ac:dyDescent="0.55000000000000004">
      <c r="A404" s="54"/>
      <c r="B404" s="55"/>
      <c r="C404" s="55"/>
      <c r="D404" s="72"/>
      <c r="E404" s="74"/>
      <c r="F404" s="74"/>
      <c r="G404" s="74"/>
      <c r="H404" s="267" t="s">
        <v>15</v>
      </c>
      <c r="I404" s="47">
        <v>0</v>
      </c>
      <c r="J404" s="66">
        <v>0</v>
      </c>
      <c r="K404" s="48">
        <f t="shared" si="82"/>
        <v>0</v>
      </c>
      <c r="L404" s="60"/>
      <c r="M404" s="60"/>
      <c r="N404" s="60"/>
    </row>
    <row r="405" spans="1:14" ht="21.75" customHeight="1" x14ac:dyDescent="0.55000000000000004">
      <c r="A405" s="54"/>
      <c r="B405" s="55"/>
      <c r="C405" s="55"/>
      <c r="D405" s="72"/>
      <c r="E405" s="74"/>
      <c r="F405" s="73" t="s">
        <v>171</v>
      </c>
      <c r="G405" s="74"/>
      <c r="H405" s="267" t="s">
        <v>103</v>
      </c>
      <c r="I405" s="47">
        <v>0</v>
      </c>
      <c r="J405" s="66">
        <v>0</v>
      </c>
      <c r="K405" s="48">
        <f t="shared" si="82"/>
        <v>0</v>
      </c>
      <c r="L405" s="60"/>
      <c r="M405" s="60"/>
      <c r="N405" s="60"/>
    </row>
    <row r="406" spans="1:14" ht="21.75" customHeight="1" x14ac:dyDescent="0.55000000000000004">
      <c r="A406" s="54"/>
      <c r="B406" s="55"/>
      <c r="C406" s="55"/>
      <c r="D406" s="72"/>
      <c r="E406" s="74"/>
      <c r="F406" s="74"/>
      <c r="G406" s="75"/>
      <c r="H406" s="267" t="s">
        <v>15</v>
      </c>
      <c r="I406" s="47">
        <v>0</v>
      </c>
      <c r="J406" s="66">
        <v>0</v>
      </c>
      <c r="K406" s="48">
        <f t="shared" si="82"/>
        <v>0</v>
      </c>
      <c r="L406" s="60"/>
      <c r="M406" s="60"/>
      <c r="N406" s="60"/>
    </row>
    <row r="407" spans="1:14" ht="21.75" customHeight="1" x14ac:dyDescent="0.55000000000000004">
      <c r="A407" s="54"/>
      <c r="B407" s="55"/>
      <c r="C407" s="55"/>
      <c r="D407" s="251"/>
      <c r="E407" s="251" t="s">
        <v>172</v>
      </c>
      <c r="F407" s="74"/>
      <c r="G407" s="75"/>
      <c r="H407" s="267" t="s">
        <v>103</v>
      </c>
      <c r="I407" s="47">
        <v>0</v>
      </c>
      <c r="J407" s="66">
        <v>0</v>
      </c>
      <c r="K407" s="48">
        <f t="shared" si="82"/>
        <v>0</v>
      </c>
      <c r="L407" s="60"/>
      <c r="M407" s="60"/>
      <c r="N407" s="60"/>
    </row>
    <row r="408" spans="1:14" ht="21.75" customHeight="1" x14ac:dyDescent="0.55000000000000004">
      <c r="A408" s="54"/>
      <c r="B408" s="55"/>
      <c r="C408" s="55"/>
      <c r="D408" s="72"/>
      <c r="E408" s="74"/>
      <c r="F408" s="74"/>
      <c r="G408" s="75"/>
      <c r="H408" s="267" t="s">
        <v>15</v>
      </c>
      <c r="I408" s="47">
        <v>0</v>
      </c>
      <c r="J408" s="66">
        <v>0</v>
      </c>
      <c r="K408" s="48">
        <f t="shared" si="82"/>
        <v>0</v>
      </c>
      <c r="L408" s="60"/>
      <c r="M408" s="60"/>
      <c r="N408" s="60"/>
    </row>
    <row r="409" spans="1:14" ht="21.75" customHeight="1" x14ac:dyDescent="0.55000000000000004">
      <c r="A409" s="54"/>
      <c r="B409" s="55"/>
      <c r="C409" s="261" t="s">
        <v>173</v>
      </c>
      <c r="D409" s="261"/>
      <c r="E409" s="286"/>
      <c r="F409" s="286"/>
      <c r="G409" s="287"/>
      <c r="H409" s="288" t="s">
        <v>103</v>
      </c>
      <c r="I409" s="136">
        <f ca="1">IFERROR(__xludf.DUMMYFUNCTION("IMPORTRANGE(""https://docs.google.com/spreadsheets/d/1C3CXT74ZlgGe6_JY_1olB1XN4rF0dxEuIIF-xsYjHgg/edit?usp=sharing"",""งบกองทุน!cz66"")"),0)</f>
        <v>0</v>
      </c>
      <c r="J409" s="136">
        <v>0</v>
      </c>
      <c r="K409" s="137">
        <v>0</v>
      </c>
      <c r="L409" s="60"/>
      <c r="M409" s="60"/>
      <c r="N409" s="60"/>
    </row>
    <row r="410" spans="1:14" ht="21.75" customHeight="1" x14ac:dyDescent="0.55000000000000004">
      <c r="A410" s="54"/>
      <c r="B410" s="55"/>
      <c r="C410" s="289"/>
      <c r="D410" s="289"/>
      <c r="E410" s="289" t="s">
        <v>174</v>
      </c>
      <c r="F410" s="290"/>
      <c r="G410" s="291"/>
      <c r="H410" s="292" t="s">
        <v>103</v>
      </c>
      <c r="I410" s="149">
        <f ca="1">IFERROR(__xludf.DUMMYFUNCTION("IMPORTRANGE(""https://docs.google.com/spreadsheets/d/1C3CXT74ZlgGe6_JY_1olB1XN4rF0dxEuIIF-xsYjHgg/edit?usp=sharing"",""งบกองทุน!cz66"")"),0)</f>
        <v>0</v>
      </c>
      <c r="J410" s="149">
        <v>0</v>
      </c>
      <c r="K410" s="146">
        <v>0</v>
      </c>
      <c r="L410" s="60"/>
      <c r="M410" s="60"/>
      <c r="N410" s="60"/>
    </row>
    <row r="411" spans="1:14" ht="21.75" customHeight="1" x14ac:dyDescent="0.55000000000000004">
      <c r="A411" s="54"/>
      <c r="B411" s="55"/>
      <c r="C411" s="289"/>
      <c r="D411" s="289"/>
      <c r="E411" s="289" t="s">
        <v>175</v>
      </c>
      <c r="F411" s="290"/>
      <c r="G411" s="291"/>
      <c r="H411" s="292" t="s">
        <v>15</v>
      </c>
      <c r="I411" s="149">
        <f ca="1">IFERROR(__xludf.DUMMYFUNCTION("IMPORTRANGE(""https://docs.google.com/spreadsheets/d/1C3CXT74ZlgGe6_JY_1olB1XN4rF0dxEuIIF-xsYjHgg/edit?usp=sharing"",""งบกองทุน!cy66"")"),0)</f>
        <v>0</v>
      </c>
      <c r="J411" s="149">
        <v>0</v>
      </c>
      <c r="K411" s="146">
        <v>0</v>
      </c>
      <c r="L411" s="60"/>
      <c r="M411" s="60"/>
      <c r="N411" s="60"/>
    </row>
    <row r="412" spans="1:14" ht="21.75" customHeight="1" x14ac:dyDescent="0.55000000000000004">
      <c r="A412" s="54"/>
      <c r="B412" s="55"/>
      <c r="C412" s="55"/>
      <c r="D412" s="72"/>
      <c r="E412" s="74"/>
      <c r="F412" s="74"/>
      <c r="G412" s="98" t="s">
        <v>176</v>
      </c>
      <c r="H412" s="267" t="s">
        <v>103</v>
      </c>
      <c r="I412" s="47">
        <v>0</v>
      </c>
      <c r="J412" s="66">
        <f ca="1">IFERROR(__xludf.DUMMYFUNCTION("IMPORTRANGE(""https://docs.google.com/spreadsheets/d/1C3CXT74ZlgGe6_JY_1olB1XN4rF0dxEuIIF-xsYjHgg/edit?usp=sharing"",""งบกองทุน!db66"")"),0)</f>
        <v>0</v>
      </c>
      <c r="K412" s="48">
        <v>0</v>
      </c>
      <c r="L412" s="60"/>
      <c r="M412" s="60"/>
      <c r="N412" s="60"/>
    </row>
    <row r="413" spans="1:14" ht="21.75" customHeight="1" x14ac:dyDescent="0.55000000000000004">
      <c r="A413" s="54"/>
      <c r="B413" s="55"/>
      <c r="C413" s="55"/>
      <c r="D413" s="72"/>
      <c r="E413" s="74"/>
      <c r="F413" s="74"/>
      <c r="G413" s="75"/>
      <c r="H413" s="267" t="s">
        <v>15</v>
      </c>
      <c r="I413" s="47">
        <v>0</v>
      </c>
      <c r="J413" s="66">
        <f ca="1">IFERROR(__xludf.DUMMYFUNCTION("IMPORTRANGE(""https://docs.google.com/spreadsheets/d/1C3CXT74ZlgGe6_JY_1olB1XN4rF0dxEuIIF-xsYjHgg/edit?usp=sharing"",""งบกองทุน!da66"")"),0)</f>
        <v>0</v>
      </c>
      <c r="K413" s="48">
        <v>0</v>
      </c>
      <c r="L413" s="60"/>
      <c r="M413" s="60"/>
      <c r="N413" s="60"/>
    </row>
    <row r="414" spans="1:14" ht="21.75" customHeight="1" x14ac:dyDescent="0.55000000000000004">
      <c r="A414" s="54"/>
      <c r="B414" s="55"/>
      <c r="C414" s="55"/>
      <c r="D414" s="72"/>
      <c r="E414" s="74"/>
      <c r="F414" s="74"/>
      <c r="G414" s="98" t="s">
        <v>177</v>
      </c>
      <c r="H414" s="267" t="s">
        <v>103</v>
      </c>
      <c r="I414" s="47">
        <v>0</v>
      </c>
      <c r="J414" s="66">
        <f ca="1">IFERROR(__xludf.DUMMYFUNCTION("IMPORTRANGE(""https://docs.google.com/spreadsheets/d/1C3CXT74ZlgGe6_JY_1olB1XN4rF0dxEuIIF-xsYjHgg/edit?usp=sharing"",""งบกองทุน!dd66"")"),0)</f>
        <v>0</v>
      </c>
      <c r="K414" s="48">
        <v>0</v>
      </c>
      <c r="L414" s="60"/>
      <c r="M414" s="60"/>
      <c r="N414" s="60"/>
    </row>
    <row r="415" spans="1:14" ht="21.75" customHeight="1" x14ac:dyDescent="0.55000000000000004">
      <c r="A415" s="54"/>
      <c r="B415" s="55"/>
      <c r="C415" s="55"/>
      <c r="D415" s="72"/>
      <c r="E415" s="74"/>
      <c r="F415" s="74"/>
      <c r="G415" s="75"/>
      <c r="H415" s="267" t="s">
        <v>15</v>
      </c>
      <c r="I415" s="47">
        <v>0</v>
      </c>
      <c r="J415" s="66">
        <f ca="1">IFERROR(__xludf.DUMMYFUNCTION("IMPORTRANGE(""https://docs.google.com/spreadsheets/d/1C3CXT74ZlgGe6_JY_1olB1XN4rF0dxEuIIF-xsYjHgg/edit?usp=sharing"",""งบกองทุน!dc66"")"),0)</f>
        <v>0</v>
      </c>
      <c r="K415" s="48">
        <v>0</v>
      </c>
      <c r="L415" s="60"/>
      <c r="M415" s="60"/>
      <c r="N415" s="60"/>
    </row>
    <row r="416" spans="1:14" ht="21.75" customHeight="1" x14ac:dyDescent="0.55000000000000004">
      <c r="A416" s="54"/>
      <c r="B416" s="55"/>
      <c r="C416" s="55"/>
      <c r="D416" s="72"/>
      <c r="E416" s="74"/>
      <c r="F416" s="74"/>
      <c r="G416" s="98" t="s">
        <v>178</v>
      </c>
      <c r="H416" s="267" t="s">
        <v>103</v>
      </c>
      <c r="I416" s="47">
        <v>0</v>
      </c>
      <c r="J416" s="66">
        <f ca="1">IFERROR(__xludf.DUMMYFUNCTION("IMPORTRANGE(""https://docs.google.com/spreadsheets/d/1C3CXT74ZlgGe6_JY_1olB1XN4rF0dxEuIIF-xsYjHgg/edit?usp=sharing"",""งบกองทุน!df66"")"),0)</f>
        <v>0</v>
      </c>
      <c r="K416" s="48">
        <v>0</v>
      </c>
      <c r="L416" s="60"/>
      <c r="M416" s="60"/>
      <c r="N416" s="60"/>
    </row>
    <row r="417" spans="1:14" ht="21.75" customHeight="1" x14ac:dyDescent="0.55000000000000004">
      <c r="A417" s="54"/>
      <c r="B417" s="55"/>
      <c r="C417" s="55"/>
      <c r="D417" s="72"/>
      <c r="E417" s="74"/>
      <c r="F417" s="74"/>
      <c r="G417" s="75"/>
      <c r="H417" s="267" t="s">
        <v>15</v>
      </c>
      <c r="I417" s="47">
        <v>0</v>
      </c>
      <c r="J417" s="66">
        <f ca="1">IFERROR(__xludf.DUMMYFUNCTION("IMPORTRANGE(""https://docs.google.com/spreadsheets/d/1C3CXT74ZlgGe6_JY_1olB1XN4rF0dxEuIIF-xsYjHgg/edit?usp=sharing"",""งบกองทุน!de66"")"),0)</f>
        <v>0</v>
      </c>
      <c r="K417" s="48">
        <v>0</v>
      </c>
      <c r="L417" s="60"/>
      <c r="M417" s="60"/>
      <c r="N417" s="60"/>
    </row>
    <row r="418" spans="1:14" ht="21.75" customHeight="1" x14ac:dyDescent="0.55000000000000004">
      <c r="A418" s="54"/>
      <c r="B418" s="55"/>
      <c r="C418" s="289"/>
      <c r="D418" s="289"/>
      <c r="E418" s="289" t="s">
        <v>179</v>
      </c>
      <c r="F418" s="290"/>
      <c r="G418" s="291"/>
      <c r="H418" s="292" t="s">
        <v>103</v>
      </c>
      <c r="I418" s="149">
        <f t="shared" ref="I418:I419" ca="1" si="90">J416</f>
        <v>0</v>
      </c>
      <c r="J418" s="149">
        <v>0</v>
      </c>
      <c r="K418" s="146">
        <v>0</v>
      </c>
      <c r="L418" s="60"/>
      <c r="M418" s="60"/>
      <c r="N418" s="60"/>
    </row>
    <row r="419" spans="1:14" ht="21.75" customHeight="1" x14ac:dyDescent="0.55000000000000004">
      <c r="A419" s="54"/>
      <c r="B419" s="55"/>
      <c r="C419" s="289"/>
      <c r="D419" s="289"/>
      <c r="E419" s="289" t="s">
        <v>180</v>
      </c>
      <c r="F419" s="290"/>
      <c r="G419" s="291"/>
      <c r="H419" s="292" t="s">
        <v>15</v>
      </c>
      <c r="I419" s="149">
        <f t="shared" ca="1" si="90"/>
        <v>0</v>
      </c>
      <c r="J419" s="149">
        <v>0</v>
      </c>
      <c r="K419" s="146">
        <v>0</v>
      </c>
      <c r="L419" s="60"/>
      <c r="M419" s="60"/>
      <c r="N419" s="60"/>
    </row>
    <row r="420" spans="1:14" ht="21.75" customHeight="1" x14ac:dyDescent="0.55000000000000004">
      <c r="A420" s="54"/>
      <c r="B420" s="55"/>
      <c r="C420" s="55"/>
      <c r="D420" s="72"/>
      <c r="E420" s="74"/>
      <c r="F420" s="74"/>
      <c r="G420" s="98" t="s">
        <v>176</v>
      </c>
      <c r="H420" s="267" t="s">
        <v>103</v>
      </c>
      <c r="I420" s="47">
        <v>0</v>
      </c>
      <c r="J420" s="67">
        <v>0</v>
      </c>
      <c r="K420" s="48">
        <v>0</v>
      </c>
      <c r="L420" s="60"/>
      <c r="M420" s="60"/>
      <c r="N420" s="60"/>
    </row>
    <row r="421" spans="1:14" ht="21.75" customHeight="1" x14ac:dyDescent="0.55000000000000004">
      <c r="A421" s="54"/>
      <c r="B421" s="55"/>
      <c r="C421" s="55"/>
      <c r="D421" s="72"/>
      <c r="E421" s="74"/>
      <c r="F421" s="74"/>
      <c r="G421" s="75"/>
      <c r="H421" s="267" t="s">
        <v>15</v>
      </c>
      <c r="I421" s="47">
        <v>0</v>
      </c>
      <c r="J421" s="67">
        <v>0</v>
      </c>
      <c r="K421" s="48">
        <v>0</v>
      </c>
      <c r="L421" s="60"/>
      <c r="M421" s="60"/>
      <c r="N421" s="60"/>
    </row>
    <row r="422" spans="1:14" ht="21.75" customHeight="1" x14ac:dyDescent="0.55000000000000004">
      <c r="A422" s="54"/>
      <c r="B422" s="55"/>
      <c r="C422" s="55"/>
      <c r="D422" s="72"/>
      <c r="E422" s="74"/>
      <c r="F422" s="74"/>
      <c r="G422" s="98" t="s">
        <v>177</v>
      </c>
      <c r="H422" s="267" t="s">
        <v>103</v>
      </c>
      <c r="I422" s="47">
        <v>0</v>
      </c>
      <c r="J422" s="67">
        <v>0</v>
      </c>
      <c r="K422" s="48">
        <v>0</v>
      </c>
      <c r="L422" s="60"/>
      <c r="M422" s="60"/>
      <c r="N422" s="60"/>
    </row>
    <row r="423" spans="1:14" ht="21.75" customHeight="1" x14ac:dyDescent="0.55000000000000004">
      <c r="A423" s="54"/>
      <c r="B423" s="55"/>
      <c r="C423" s="55"/>
      <c r="D423" s="72"/>
      <c r="E423" s="74"/>
      <c r="F423" s="74"/>
      <c r="G423" s="75"/>
      <c r="H423" s="267" t="s">
        <v>15</v>
      </c>
      <c r="I423" s="47">
        <v>0</v>
      </c>
      <c r="J423" s="67">
        <v>0</v>
      </c>
      <c r="K423" s="48">
        <v>0</v>
      </c>
      <c r="L423" s="60"/>
      <c r="M423" s="60"/>
      <c r="N423" s="60"/>
    </row>
    <row r="424" spans="1:14" ht="21.75" customHeight="1" x14ac:dyDescent="0.55000000000000004">
      <c r="A424" s="54"/>
      <c r="B424" s="55"/>
      <c r="C424" s="55"/>
      <c r="D424" s="72"/>
      <c r="E424" s="74"/>
      <c r="F424" s="74"/>
      <c r="G424" s="98" t="s">
        <v>181</v>
      </c>
      <c r="H424" s="267" t="s">
        <v>103</v>
      </c>
      <c r="I424" s="47">
        <v>0</v>
      </c>
      <c r="J424" s="67">
        <v>0</v>
      </c>
      <c r="K424" s="48">
        <v>0</v>
      </c>
      <c r="L424" s="60"/>
      <c r="M424" s="60"/>
      <c r="N424" s="60"/>
    </row>
    <row r="425" spans="1:14" ht="21.75" customHeight="1" x14ac:dyDescent="0.55000000000000004">
      <c r="A425" s="293"/>
      <c r="B425" s="294"/>
      <c r="C425" s="294"/>
      <c r="D425" s="295"/>
      <c r="E425" s="296"/>
      <c r="F425" s="296"/>
      <c r="G425" s="297"/>
      <c r="H425" s="298" t="s">
        <v>15</v>
      </c>
      <c r="I425" s="369">
        <v>0</v>
      </c>
      <c r="J425" s="300">
        <v>0</v>
      </c>
      <c r="K425" s="301">
        <v>0</v>
      </c>
      <c r="L425" s="302"/>
      <c r="M425" s="302"/>
      <c r="N425" s="302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1">I440</f>
        <v>20</v>
      </c>
      <c r="J426" s="257">
        <f t="shared" si="91"/>
        <v>20</v>
      </c>
      <c r="K426" s="258">
        <f ca="1">IF(I426&gt;0,J426*100/I426,0)</f>
        <v>100</v>
      </c>
      <c r="L426" s="259">
        <f t="shared" ref="L426:M426" ca="1" si="92">SUM(L427:L428)</f>
        <v>32640</v>
      </c>
      <c r="M426" s="259">
        <f t="shared" si="92"/>
        <v>25660</v>
      </c>
      <c r="N426" s="259">
        <f t="shared" ref="N426:N430" ca="1" si="93">+IF(L426&gt;0,M426*100/L426,0)</f>
        <v>78.615196078431367</v>
      </c>
    </row>
    <row r="427" spans="1:14" ht="21.75" customHeight="1" x14ac:dyDescent="0.55000000000000004">
      <c r="A427" s="41"/>
      <c r="B427" s="42"/>
      <c r="C427" s="42" t="s">
        <v>17</v>
      </c>
      <c r="D427" s="43" t="s">
        <v>18</v>
      </c>
      <c r="E427" s="44"/>
      <c r="F427" s="44"/>
      <c r="G427" s="45" t="s">
        <v>19</v>
      </c>
      <c r="H427" s="46" t="s">
        <v>20</v>
      </c>
      <c r="I427" s="47" t="s">
        <v>21</v>
      </c>
      <c r="J427" s="47"/>
      <c r="K427" s="48"/>
      <c r="L427" s="49">
        <v>0</v>
      </c>
      <c r="M427" s="52">
        <v>0</v>
      </c>
      <c r="N427" s="52">
        <f t="shared" si="93"/>
        <v>0</v>
      </c>
    </row>
    <row r="428" spans="1:14" ht="21.75" customHeight="1" x14ac:dyDescent="0.55000000000000004">
      <c r="A428" s="41"/>
      <c r="B428" s="42"/>
      <c r="C428" s="42"/>
      <c r="D428" s="50"/>
      <c r="E428" s="44"/>
      <c r="F428" s="44" t="s">
        <v>21</v>
      </c>
      <c r="G428" s="45" t="s">
        <v>22</v>
      </c>
      <c r="H428" s="46" t="s">
        <v>20</v>
      </c>
      <c r="I428" s="47"/>
      <c r="J428" s="47"/>
      <c r="K428" s="48"/>
      <c r="L428" s="49">
        <f t="shared" ref="L428:M428" ca="1" si="94">SUM(L429:L430)</f>
        <v>32640</v>
      </c>
      <c r="M428" s="52">
        <f t="shared" si="94"/>
        <v>25660</v>
      </c>
      <c r="N428" s="52">
        <f t="shared" ca="1" si="93"/>
        <v>78.615196078431367</v>
      </c>
    </row>
    <row r="429" spans="1:14" ht="21.75" customHeight="1" x14ac:dyDescent="0.55000000000000004">
      <c r="A429" s="41"/>
      <c r="B429" s="42"/>
      <c r="C429" s="42"/>
      <c r="D429" s="50"/>
      <c r="E429" s="44"/>
      <c r="F429" s="44"/>
      <c r="G429" s="51" t="s">
        <v>110</v>
      </c>
      <c r="H429" s="46" t="s">
        <v>20</v>
      </c>
      <c r="I429" s="47"/>
      <c r="J429" s="47"/>
      <c r="K429" s="48"/>
      <c r="L429" s="52">
        <f ca="1">IFERROR(__xludf.DUMMYFUNCTION("IMPORTRANGE(""https://docs.google.com/spreadsheets/d/1C3CXT74ZlgGe6_JY_1olB1XN4rF0dxEuIIF-xsYjHgg/edit?usp=sharing"",""งบกองทุน!dn66"")"),0)</f>
        <v>0</v>
      </c>
      <c r="M429" s="52">
        <v>0</v>
      </c>
      <c r="N429" s="52">
        <f t="shared" ca="1" si="93"/>
        <v>0</v>
      </c>
    </row>
    <row r="430" spans="1:14" ht="21.75" customHeight="1" x14ac:dyDescent="0.55000000000000004">
      <c r="A430" s="41"/>
      <c r="B430" s="42"/>
      <c r="C430" s="42"/>
      <c r="D430" s="50"/>
      <c r="E430" s="44"/>
      <c r="F430" s="44"/>
      <c r="G430" s="51" t="s">
        <v>111</v>
      </c>
      <c r="H430" s="46" t="s">
        <v>20</v>
      </c>
      <c r="I430" s="47"/>
      <c r="J430" s="47"/>
      <c r="K430" s="48"/>
      <c r="L430" s="52">
        <f ca="1">IFERROR(__xludf.DUMMYFUNCTION("IMPORTRANGE(""https://docs.google.com/spreadsheets/d/1C3CXT74ZlgGe6_JY_1olB1XN4rF0dxEuIIF-xsYjHgg/edit?usp=sharing"",""งบกองทุน!do66"")"),32640)</f>
        <v>32640</v>
      </c>
      <c r="M430" s="52">
        <f>SUM(M431:M434)</f>
        <v>25660</v>
      </c>
      <c r="N430" s="52">
        <f t="shared" ca="1" si="93"/>
        <v>78.615196078431367</v>
      </c>
    </row>
    <row r="431" spans="1:14" ht="21.75" customHeight="1" x14ac:dyDescent="0.55000000000000004">
      <c r="A431" s="229"/>
      <c r="B431" s="230"/>
      <c r="C431" s="42"/>
      <c r="D431" s="231"/>
      <c r="E431" s="44"/>
      <c r="F431" s="44"/>
      <c r="G431" s="45" t="s">
        <v>112</v>
      </c>
      <c r="H431" s="46" t="s">
        <v>20</v>
      </c>
      <c r="I431" s="66"/>
      <c r="J431" s="66"/>
      <c r="K431" s="232"/>
      <c r="L431" s="52"/>
      <c r="M431" s="53">
        <v>25660</v>
      </c>
      <c r="N431" s="52"/>
    </row>
    <row r="432" spans="1:14" ht="21.75" customHeight="1" x14ac:dyDescent="0.55000000000000004">
      <c r="A432" s="229"/>
      <c r="B432" s="230"/>
      <c r="C432" s="42"/>
      <c r="D432" s="231"/>
      <c r="E432" s="44"/>
      <c r="F432" s="44"/>
      <c r="G432" s="45" t="s">
        <v>113</v>
      </c>
      <c r="H432" s="46" t="s">
        <v>20</v>
      </c>
      <c r="I432" s="66"/>
      <c r="J432" s="66"/>
      <c r="K432" s="232"/>
      <c r="L432" s="52"/>
      <c r="M432" s="53">
        <v>0</v>
      </c>
      <c r="N432" s="52"/>
    </row>
    <row r="433" spans="1:14" ht="21.75" customHeight="1" x14ac:dyDescent="0.55000000000000004">
      <c r="A433" s="229"/>
      <c r="B433" s="230"/>
      <c r="C433" s="42"/>
      <c r="D433" s="231"/>
      <c r="E433" s="44"/>
      <c r="F433" s="44"/>
      <c r="G433" s="45" t="s">
        <v>114</v>
      </c>
      <c r="H433" s="46" t="s">
        <v>20</v>
      </c>
      <c r="I433" s="66"/>
      <c r="J433" s="66"/>
      <c r="K433" s="232"/>
      <c r="L433" s="52"/>
      <c r="M433" s="53">
        <v>0</v>
      </c>
      <c r="N433" s="52"/>
    </row>
    <row r="434" spans="1:14" ht="21.75" customHeight="1" x14ac:dyDescent="0.55000000000000004">
      <c r="A434" s="229"/>
      <c r="B434" s="230"/>
      <c r="C434" s="42"/>
      <c r="D434" s="231"/>
      <c r="E434" s="44"/>
      <c r="F434" s="44"/>
      <c r="G434" s="45" t="s">
        <v>115</v>
      </c>
      <c r="H434" s="46" t="s">
        <v>20</v>
      </c>
      <c r="I434" s="66"/>
      <c r="J434" s="66"/>
      <c r="K434" s="232"/>
      <c r="L434" s="52"/>
      <c r="M434" s="53">
        <v>0</v>
      </c>
      <c r="N434" s="52"/>
    </row>
    <row r="435" spans="1:14" ht="21.75" customHeight="1" x14ac:dyDescent="0.55000000000000004">
      <c r="A435" s="54"/>
      <c r="B435" s="55"/>
      <c r="C435" s="42" t="s">
        <v>17</v>
      </c>
      <c r="D435" s="56" t="s">
        <v>25</v>
      </c>
      <c r="E435" s="57"/>
      <c r="F435" s="57"/>
      <c r="G435" s="58"/>
      <c r="H435" s="59"/>
      <c r="I435" s="47"/>
      <c r="J435" s="47"/>
      <c r="K435" s="48"/>
      <c r="L435" s="60"/>
      <c r="M435" s="60"/>
      <c r="N435" s="60"/>
    </row>
    <row r="436" spans="1:14" ht="21.75" customHeight="1" x14ac:dyDescent="0.55000000000000004">
      <c r="A436" s="54"/>
      <c r="B436" s="55"/>
      <c r="C436" s="55"/>
      <c r="D436" s="61">
        <v>1</v>
      </c>
      <c r="E436" s="62" t="s">
        <v>26</v>
      </c>
      <c r="F436" s="63"/>
      <c r="G436" s="64"/>
      <c r="H436" s="65"/>
      <c r="I436" s="66"/>
      <c r="J436" s="67">
        <v>0</v>
      </c>
      <c r="K436" s="48"/>
      <c r="L436" s="60"/>
      <c r="M436" s="60"/>
      <c r="N436" s="60"/>
    </row>
    <row r="437" spans="1:14" ht="21.75" customHeight="1" x14ac:dyDescent="0.55000000000000004">
      <c r="A437" s="54"/>
      <c r="B437" s="55"/>
      <c r="C437" s="55"/>
      <c r="D437" s="68">
        <v>2</v>
      </c>
      <c r="E437" s="69" t="s">
        <v>27</v>
      </c>
      <c r="F437" s="70"/>
      <c r="G437" s="71"/>
      <c r="H437" s="65"/>
      <c r="I437" s="66"/>
      <c r="J437" s="67">
        <v>1</v>
      </c>
      <c r="K437" s="48"/>
      <c r="L437" s="60" t="s">
        <v>21</v>
      </c>
      <c r="M437" s="60" t="s">
        <v>21</v>
      </c>
      <c r="N437" s="60"/>
    </row>
    <row r="438" spans="1:14" ht="21.75" customHeight="1" x14ac:dyDescent="0.55000000000000004">
      <c r="A438" s="54"/>
      <c r="B438" s="55"/>
      <c r="C438" s="55"/>
      <c r="D438" s="72"/>
      <c r="E438" s="73" t="s">
        <v>28</v>
      </c>
      <c r="F438" s="74"/>
      <c r="G438" s="75"/>
      <c r="H438" s="65"/>
      <c r="I438" s="66"/>
      <c r="J438" s="67">
        <v>1</v>
      </c>
      <c r="K438" s="48"/>
      <c r="L438" s="60"/>
      <c r="M438" s="60"/>
      <c r="N438" s="60"/>
    </row>
    <row r="439" spans="1:14" ht="21.75" customHeight="1" x14ac:dyDescent="0.55000000000000004">
      <c r="A439" s="54"/>
      <c r="B439" s="55"/>
      <c r="C439" s="55"/>
      <c r="D439" s="72"/>
      <c r="E439" s="73" t="s">
        <v>29</v>
      </c>
      <c r="F439" s="74"/>
      <c r="G439" s="75"/>
      <c r="H439" s="65"/>
      <c r="I439" s="66"/>
      <c r="J439" s="67">
        <v>1</v>
      </c>
      <c r="K439" s="48"/>
      <c r="L439" s="60"/>
      <c r="M439" s="60"/>
      <c r="N439" s="60"/>
    </row>
    <row r="440" spans="1:14" ht="21.75" customHeight="1" x14ac:dyDescent="0.55000000000000004">
      <c r="A440" s="54"/>
      <c r="B440" s="55"/>
      <c r="C440" s="55"/>
      <c r="D440" s="72"/>
      <c r="E440" s="76"/>
      <c r="F440" s="74"/>
      <c r="G440" s="98" t="s">
        <v>183</v>
      </c>
      <c r="H440" s="65" t="s">
        <v>16</v>
      </c>
      <c r="I440" s="199">
        <f ca="1">IFERROR(__xludf.DUMMYFUNCTION("IMPORTRANGE(""https://docs.google.com/spreadsheets/d/1C3CXT74ZlgGe6_JY_1olB1XN4rF0dxEuIIF-xsYjHgg/edit?usp=sharing"",""งบกองทุน!dq66"")"),20)</f>
        <v>20</v>
      </c>
      <c r="J440" s="67">
        <v>20</v>
      </c>
      <c r="K440" s="48">
        <f t="shared" ref="K440:K441" ca="1" si="95">IF(I440&gt;0,J440*100/I440,0)</f>
        <v>100</v>
      </c>
      <c r="L440" s="60"/>
      <c r="M440" s="60"/>
      <c r="N440" s="60"/>
    </row>
    <row r="441" spans="1:14" ht="21.75" hidden="1" customHeight="1" x14ac:dyDescent="0.55000000000000004">
      <c r="A441" s="54"/>
      <c r="B441" s="55"/>
      <c r="C441" s="55"/>
      <c r="D441" s="72"/>
      <c r="E441" s="76"/>
      <c r="F441" s="74"/>
      <c r="G441" s="98" t="s">
        <v>184</v>
      </c>
      <c r="H441" s="65" t="s">
        <v>16</v>
      </c>
      <c r="I441" s="199">
        <f ca="1">IFERROR(__xludf.DUMMYFUNCTION("IMPORTRANGE(""https://docs.google.com/spreadsheets/d/1C3CXT74ZlgGe6_JY_1olB1XN4rF0dxEuIIF-xsYjHgg/edit?usp=sharing"",""งบกองทุน!dr66"")"),20)</f>
        <v>20</v>
      </c>
      <c r="J441" s="67">
        <v>0</v>
      </c>
      <c r="K441" s="48">
        <f t="shared" ca="1" si="95"/>
        <v>0</v>
      </c>
      <c r="L441" s="60"/>
      <c r="M441" s="60"/>
      <c r="N441" s="60"/>
    </row>
    <row r="442" spans="1:14" ht="21.75" customHeight="1" x14ac:dyDescent="0.55000000000000004">
      <c r="A442" s="54"/>
      <c r="B442" s="55"/>
      <c r="C442" s="55"/>
      <c r="D442" s="72"/>
      <c r="E442" s="73" t="s">
        <v>35</v>
      </c>
      <c r="F442" s="74"/>
      <c r="G442" s="75"/>
      <c r="H442" s="65"/>
      <c r="I442" s="66"/>
      <c r="J442" s="67">
        <v>0</v>
      </c>
      <c r="K442" s="48"/>
      <c r="L442" s="60"/>
      <c r="M442" s="60"/>
      <c r="N442" s="60"/>
    </row>
    <row r="443" spans="1:14" ht="21.75" customHeight="1" x14ac:dyDescent="0.55000000000000004">
      <c r="A443" s="293"/>
      <c r="B443" s="294"/>
      <c r="C443" s="294"/>
      <c r="D443" s="305">
        <v>3</v>
      </c>
      <c r="E443" s="306" t="s">
        <v>36</v>
      </c>
      <c r="F443" s="307"/>
      <c r="G443" s="308"/>
      <c r="H443" s="309"/>
      <c r="I443" s="310"/>
      <c r="J443" s="311">
        <v>0</v>
      </c>
      <c r="K443" s="301"/>
      <c r="L443" s="302"/>
      <c r="M443" s="302"/>
      <c r="N443" s="302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6">SUM(I453,I455)</f>
        <v>0</v>
      </c>
      <c r="J444" s="257">
        <f t="shared" si="96"/>
        <v>0</v>
      </c>
      <c r="K444" s="258">
        <f ca="1">IF(I444&gt;0,J444*100/I444,0)</f>
        <v>0</v>
      </c>
      <c r="L444" s="259">
        <f t="shared" ref="L444:M444" ca="1" si="97">SUM(L445:L446)</f>
        <v>0</v>
      </c>
      <c r="M444" s="259">
        <f t="shared" si="97"/>
        <v>0</v>
      </c>
      <c r="N444" s="259">
        <f t="shared" ref="N444:N448" ca="1" si="98">+IF(L444&gt;0,M444*100/L444,0)</f>
        <v>0</v>
      </c>
    </row>
    <row r="445" spans="1:14" ht="21.75" customHeight="1" x14ac:dyDescent="0.55000000000000004">
      <c r="A445" s="41"/>
      <c r="B445" s="42"/>
      <c r="C445" s="42" t="s">
        <v>17</v>
      </c>
      <c r="D445" s="43" t="s">
        <v>18</v>
      </c>
      <c r="E445" s="44"/>
      <c r="F445" s="44"/>
      <c r="G445" s="45" t="s">
        <v>19</v>
      </c>
      <c r="H445" s="46" t="s">
        <v>20</v>
      </c>
      <c r="I445" s="47" t="s">
        <v>21</v>
      </c>
      <c r="J445" s="47"/>
      <c r="K445" s="48"/>
      <c r="L445" s="49">
        <v>0</v>
      </c>
      <c r="M445" s="52">
        <v>0</v>
      </c>
      <c r="N445" s="52">
        <f t="shared" si="98"/>
        <v>0</v>
      </c>
    </row>
    <row r="446" spans="1:14" ht="21.75" customHeight="1" x14ac:dyDescent="0.55000000000000004">
      <c r="A446" s="41"/>
      <c r="B446" s="42"/>
      <c r="C446" s="42"/>
      <c r="D446" s="50"/>
      <c r="E446" s="44"/>
      <c r="F446" s="44" t="s">
        <v>21</v>
      </c>
      <c r="G446" s="45" t="s">
        <v>22</v>
      </c>
      <c r="H446" s="46" t="s">
        <v>20</v>
      </c>
      <c r="I446" s="47"/>
      <c r="J446" s="47"/>
      <c r="K446" s="48"/>
      <c r="L446" s="49">
        <f t="shared" ref="L446:M446" ca="1" si="99">SUM(L447:L448)</f>
        <v>0</v>
      </c>
      <c r="M446" s="52">
        <f t="shared" si="99"/>
        <v>0</v>
      </c>
      <c r="N446" s="52">
        <f t="shared" ca="1" si="98"/>
        <v>0</v>
      </c>
    </row>
    <row r="447" spans="1:14" ht="21.75" customHeight="1" x14ac:dyDescent="0.55000000000000004">
      <c r="A447" s="41"/>
      <c r="B447" s="42"/>
      <c r="C447" s="42"/>
      <c r="D447" s="50"/>
      <c r="E447" s="44"/>
      <c r="F447" s="44"/>
      <c r="G447" s="51" t="s">
        <v>110</v>
      </c>
      <c r="H447" s="46" t="s">
        <v>20</v>
      </c>
      <c r="I447" s="47"/>
      <c r="J447" s="47"/>
      <c r="K447" s="48"/>
      <c r="L447" s="52">
        <f ca="1">IFERROR(__xludf.DUMMYFUNCTION("IMPORTRANGE(""https://docs.google.com/spreadsheets/d/1C3CXT74ZlgGe6_JY_1olB1XN4rF0dxEuIIF-xsYjHgg/edit?usp=sharing"",""งบกองทุน!dt66"")"),0)</f>
        <v>0</v>
      </c>
      <c r="M447" s="52">
        <v>0</v>
      </c>
      <c r="N447" s="52">
        <f t="shared" ca="1" si="98"/>
        <v>0</v>
      </c>
    </row>
    <row r="448" spans="1:14" ht="21.75" customHeight="1" x14ac:dyDescent="0.55000000000000004">
      <c r="A448" s="41"/>
      <c r="B448" s="42"/>
      <c r="C448" s="42"/>
      <c r="D448" s="50"/>
      <c r="E448" s="44"/>
      <c r="F448" s="44"/>
      <c r="G448" s="51" t="s">
        <v>111</v>
      </c>
      <c r="H448" s="46" t="s">
        <v>20</v>
      </c>
      <c r="I448" s="47"/>
      <c r="J448" s="47"/>
      <c r="K448" s="48"/>
      <c r="L448" s="52">
        <f ca="1">IFERROR(__xludf.DUMMYFUNCTION("IMPORTRANGE(""https://docs.google.com/spreadsheets/d/1C3CXT74ZlgGe6_JY_1olB1XN4rF0dxEuIIF-xsYjHgg/edit?usp=sharing"",""งบกองทุน!du66"")"),0)</f>
        <v>0</v>
      </c>
      <c r="M448" s="52">
        <f>SUM(M449:M452)</f>
        <v>0</v>
      </c>
      <c r="N448" s="52">
        <f t="shared" ca="1" si="98"/>
        <v>0</v>
      </c>
    </row>
    <row r="449" spans="1:14" ht="21.75" customHeight="1" x14ac:dyDescent="0.55000000000000004">
      <c r="A449" s="229"/>
      <c r="B449" s="230"/>
      <c r="C449" s="42"/>
      <c r="D449" s="231"/>
      <c r="E449" s="44"/>
      <c r="F449" s="44"/>
      <c r="G449" s="45" t="s">
        <v>112</v>
      </c>
      <c r="H449" s="46" t="s">
        <v>20</v>
      </c>
      <c r="I449" s="66"/>
      <c r="J449" s="66"/>
      <c r="K449" s="232"/>
      <c r="L449" s="52"/>
      <c r="M449" s="52">
        <v>0</v>
      </c>
      <c r="N449" s="52"/>
    </row>
    <row r="450" spans="1:14" ht="21.75" customHeight="1" x14ac:dyDescent="0.55000000000000004">
      <c r="A450" s="229"/>
      <c r="B450" s="230"/>
      <c r="C450" s="42"/>
      <c r="D450" s="231"/>
      <c r="E450" s="44"/>
      <c r="F450" s="44"/>
      <c r="G450" s="45" t="s">
        <v>113</v>
      </c>
      <c r="H450" s="46" t="s">
        <v>20</v>
      </c>
      <c r="I450" s="66"/>
      <c r="J450" s="66"/>
      <c r="K450" s="232"/>
      <c r="L450" s="52"/>
      <c r="M450" s="52">
        <v>0</v>
      </c>
      <c r="N450" s="52"/>
    </row>
    <row r="451" spans="1:14" ht="21.75" customHeight="1" x14ac:dyDescent="0.55000000000000004">
      <c r="A451" s="229"/>
      <c r="B451" s="230"/>
      <c r="C451" s="42"/>
      <c r="D451" s="231"/>
      <c r="E451" s="44"/>
      <c r="F451" s="44"/>
      <c r="G451" s="45" t="s">
        <v>114</v>
      </c>
      <c r="H451" s="46" t="s">
        <v>20</v>
      </c>
      <c r="I451" s="66"/>
      <c r="J451" s="66"/>
      <c r="K451" s="232"/>
      <c r="L451" s="52"/>
      <c r="M451" s="52">
        <v>0</v>
      </c>
      <c r="N451" s="52"/>
    </row>
    <row r="452" spans="1:14" ht="21.75" customHeight="1" x14ac:dyDescent="0.55000000000000004">
      <c r="A452" s="229"/>
      <c r="B452" s="230"/>
      <c r="C452" s="42"/>
      <c r="D452" s="231"/>
      <c r="E452" s="44"/>
      <c r="F452" s="44"/>
      <c r="G452" s="45" t="s">
        <v>115</v>
      </c>
      <c r="H452" s="46" t="s">
        <v>20</v>
      </c>
      <c r="I452" s="66"/>
      <c r="J452" s="66"/>
      <c r="K452" s="232"/>
      <c r="L452" s="52"/>
      <c r="M452" s="52">
        <v>0</v>
      </c>
      <c r="N452" s="52"/>
    </row>
    <row r="453" spans="1:14" ht="21.75" customHeight="1" x14ac:dyDescent="0.55000000000000004">
      <c r="A453" s="54"/>
      <c r="B453" s="55"/>
      <c r="C453" s="55"/>
      <c r="D453" s="72"/>
      <c r="E453" s="74"/>
      <c r="F453" s="74" t="s">
        <v>186</v>
      </c>
      <c r="G453" s="75"/>
      <c r="H453" s="317" t="s">
        <v>103</v>
      </c>
      <c r="I453" s="47">
        <f ca="1">IFERROR(__xludf.DUMMYFUNCTION("IMPORTRANGE(""https://docs.google.com/spreadsheets/d/1C3CXT74ZlgGe6_JY_1olB1XN4rF0dxEuIIF-xsYjHgg/edit?usp=sharing"",""งบกองทุน!dw66"")"),0)</f>
        <v>0</v>
      </c>
      <c r="J453" s="66">
        <v>0</v>
      </c>
      <c r="K453" s="232">
        <f t="shared" ref="K453:K457" ca="1" si="100">IF(I453&gt;0,J453*100/I453,0)</f>
        <v>0</v>
      </c>
      <c r="L453" s="52"/>
      <c r="M453" s="52"/>
      <c r="N453" s="60"/>
    </row>
    <row r="454" spans="1:14" ht="21.75" customHeight="1" x14ac:dyDescent="0.55000000000000004">
      <c r="A454" s="54"/>
      <c r="B454" s="55"/>
      <c r="C454" s="55"/>
      <c r="D454" s="72"/>
      <c r="E454" s="74"/>
      <c r="F454" s="74"/>
      <c r="G454" s="75"/>
      <c r="H454" s="317" t="s">
        <v>15</v>
      </c>
      <c r="I454" s="47">
        <f ca="1">IFERROR(__xludf.DUMMYFUNCTION("IMPORTRANGE(""https://docs.google.com/spreadsheets/d/1C3CXT74ZlgGe6_JY_1olB1XN4rF0dxEuIIF-xsYjHgg/edit?usp=sharing"",""งบกองทุน!dx66"")"),0)</f>
        <v>0</v>
      </c>
      <c r="J454" s="66">
        <v>0</v>
      </c>
      <c r="K454" s="232">
        <f t="shared" ca="1" si="100"/>
        <v>0</v>
      </c>
      <c r="L454" s="52"/>
      <c r="M454" s="52"/>
      <c r="N454" s="60"/>
    </row>
    <row r="455" spans="1:14" ht="21.75" customHeight="1" x14ac:dyDescent="0.55000000000000004">
      <c r="A455" s="54"/>
      <c r="B455" s="55"/>
      <c r="C455" s="55"/>
      <c r="D455" s="72"/>
      <c r="E455" s="74"/>
      <c r="F455" s="74" t="s">
        <v>187</v>
      </c>
      <c r="G455" s="75"/>
      <c r="H455" s="317" t="s">
        <v>103</v>
      </c>
      <c r="I455" s="47">
        <f ca="1">IFERROR(__xludf.DUMMYFUNCTION("IMPORTRANGE(""https://docs.google.com/spreadsheets/d/1C3CXT74ZlgGe6_JY_1olB1XN4rF0dxEuIIF-xsYjHgg/edit?usp=sharing"",""งบกองทุน!dy66"")"),0)</f>
        <v>0</v>
      </c>
      <c r="J455" s="66">
        <v>0</v>
      </c>
      <c r="K455" s="232">
        <f t="shared" ca="1" si="100"/>
        <v>0</v>
      </c>
      <c r="L455" s="52"/>
      <c r="M455" s="52"/>
      <c r="N455" s="60"/>
    </row>
    <row r="456" spans="1:14" ht="21.75" customHeight="1" x14ac:dyDescent="0.55000000000000004">
      <c r="A456" s="54"/>
      <c r="B456" s="55"/>
      <c r="C456" s="55"/>
      <c r="D456" s="72"/>
      <c r="E456" s="74"/>
      <c r="F456" s="74"/>
      <c r="G456" s="75"/>
      <c r="H456" s="317" t="s">
        <v>15</v>
      </c>
      <c r="I456" s="47">
        <f ca="1">IFERROR(__xludf.DUMMYFUNCTION("IMPORTRANGE(""https://docs.google.com/spreadsheets/d/1C3CXT74ZlgGe6_JY_1olB1XN4rF0dxEuIIF-xsYjHgg/edit?usp=sharing"",""งบกองทุน!dz66"")"),0)</f>
        <v>0</v>
      </c>
      <c r="J456" s="66">
        <v>0</v>
      </c>
      <c r="K456" s="232">
        <f t="shared" ca="1" si="100"/>
        <v>0</v>
      </c>
      <c r="L456" s="52"/>
      <c r="M456" s="52"/>
      <c r="N456" s="60"/>
    </row>
    <row r="457" spans="1:14" ht="21.75" customHeight="1" x14ac:dyDescent="0.55000000000000004">
      <c r="A457" s="221"/>
      <c r="B457" s="222">
        <v>8</v>
      </c>
      <c r="C457" s="223" t="s">
        <v>188</v>
      </c>
      <c r="D457" s="223"/>
      <c r="E457" s="223"/>
      <c r="F457" s="223"/>
      <c r="G457" s="224"/>
      <c r="H457" s="225" t="s">
        <v>16</v>
      </c>
      <c r="I457" s="226">
        <f ca="1">I466</f>
        <v>100</v>
      </c>
      <c r="J457" s="226">
        <f>+J466</f>
        <v>0</v>
      </c>
      <c r="K457" s="227">
        <f t="shared" ca="1" si="100"/>
        <v>0</v>
      </c>
      <c r="L457" s="228">
        <f t="shared" ref="L457:M457" ca="1" si="101">SUM(L458:L459)</f>
        <v>116160</v>
      </c>
      <c r="M457" s="228">
        <f t="shared" si="101"/>
        <v>0</v>
      </c>
      <c r="N457" s="228">
        <f t="shared" ref="N457:N461" ca="1" si="102">+IF(L457&gt;0,M457*100/L457,0)</f>
        <v>0</v>
      </c>
    </row>
    <row r="458" spans="1:14" ht="21.75" customHeight="1" x14ac:dyDescent="0.55000000000000004">
      <c r="A458" s="41"/>
      <c r="B458" s="42"/>
      <c r="C458" s="42" t="s">
        <v>17</v>
      </c>
      <c r="D458" s="43" t="s">
        <v>18</v>
      </c>
      <c r="E458" s="44"/>
      <c r="F458" s="44"/>
      <c r="G458" s="45" t="s">
        <v>19</v>
      </c>
      <c r="H458" s="46" t="s">
        <v>20</v>
      </c>
      <c r="I458" s="47" t="s">
        <v>21</v>
      </c>
      <c r="J458" s="47"/>
      <c r="K458" s="48"/>
      <c r="L458" s="49">
        <v>0</v>
      </c>
      <c r="M458" s="52">
        <v>0</v>
      </c>
      <c r="N458" s="52">
        <f t="shared" si="102"/>
        <v>0</v>
      </c>
    </row>
    <row r="459" spans="1:14" ht="21.75" customHeight="1" x14ac:dyDescent="0.55000000000000004">
      <c r="A459" s="41"/>
      <c r="B459" s="42"/>
      <c r="C459" s="42"/>
      <c r="D459" s="50"/>
      <c r="E459" s="44"/>
      <c r="F459" s="44" t="s">
        <v>21</v>
      </c>
      <c r="G459" s="45" t="s">
        <v>22</v>
      </c>
      <c r="H459" s="46" t="s">
        <v>20</v>
      </c>
      <c r="I459" s="47"/>
      <c r="J459" s="47"/>
      <c r="K459" s="48"/>
      <c r="L459" s="49">
        <f t="shared" ref="L459:M459" ca="1" si="103">SUM(L460:L461)</f>
        <v>116160</v>
      </c>
      <c r="M459" s="52">
        <f t="shared" si="103"/>
        <v>0</v>
      </c>
      <c r="N459" s="52">
        <f t="shared" ca="1" si="102"/>
        <v>0</v>
      </c>
    </row>
    <row r="460" spans="1:14" ht="21.75" customHeight="1" x14ac:dyDescent="0.55000000000000004">
      <c r="A460" s="41"/>
      <c r="B460" s="42"/>
      <c r="C460" s="42"/>
      <c r="D460" s="50"/>
      <c r="E460" s="44"/>
      <c r="F460" s="44"/>
      <c r="G460" s="51" t="s">
        <v>110</v>
      </c>
      <c r="H460" s="46" t="s">
        <v>20</v>
      </c>
      <c r="I460" s="47"/>
      <c r="J460" s="47"/>
      <c r="K460" s="48"/>
      <c r="L460" s="52">
        <f ca="1">IFERROR(__xludf.DUMMYFUNCTION("IMPORTRANGE(""https://docs.google.com/spreadsheets/d/1C3CXT74ZlgGe6_JY_1olB1XN4rF0dxEuIIF-xsYjHgg/edit?usp=sharing"",""งบกองทุน!Eb66"")"),0)</f>
        <v>0</v>
      </c>
      <c r="M460" s="52">
        <v>0</v>
      </c>
      <c r="N460" s="52">
        <f t="shared" ca="1" si="102"/>
        <v>0</v>
      </c>
    </row>
    <row r="461" spans="1:14" ht="21.75" customHeight="1" x14ac:dyDescent="0.55000000000000004">
      <c r="A461" s="41"/>
      <c r="B461" s="42"/>
      <c r="C461" s="42"/>
      <c r="D461" s="50"/>
      <c r="E461" s="44"/>
      <c r="F461" s="44"/>
      <c r="G461" s="51" t="s">
        <v>111</v>
      </c>
      <c r="H461" s="46" t="s">
        <v>20</v>
      </c>
      <c r="I461" s="47"/>
      <c r="J461" s="47"/>
      <c r="K461" s="48"/>
      <c r="L461" s="52">
        <f ca="1">IFERROR(__xludf.DUMMYFUNCTION("IMPORTRANGE(""https://docs.google.com/spreadsheets/d/1C3CXT74ZlgGe6_JY_1olB1XN4rF0dxEuIIF-xsYjHgg/edit?usp=sharing"",""งบกองทุน!Ec66"")"),116160)</f>
        <v>116160</v>
      </c>
      <c r="M461" s="52">
        <f>SUM(M462:M465)</f>
        <v>0</v>
      </c>
      <c r="N461" s="52">
        <f t="shared" ca="1" si="102"/>
        <v>0</v>
      </c>
    </row>
    <row r="462" spans="1:14" ht="21.75" customHeight="1" x14ac:dyDescent="0.55000000000000004">
      <c r="A462" s="229"/>
      <c r="B462" s="230"/>
      <c r="C462" s="42"/>
      <c r="D462" s="231"/>
      <c r="E462" s="44"/>
      <c r="F462" s="44"/>
      <c r="G462" s="45" t="s">
        <v>112</v>
      </c>
      <c r="H462" s="46" t="s">
        <v>20</v>
      </c>
      <c r="I462" s="66"/>
      <c r="J462" s="66"/>
      <c r="K462" s="232"/>
      <c r="L462" s="52"/>
      <c r="M462" s="52">
        <v>0</v>
      </c>
      <c r="N462" s="52"/>
    </row>
    <row r="463" spans="1:14" ht="21.75" customHeight="1" x14ac:dyDescent="0.55000000000000004">
      <c r="A463" s="229"/>
      <c r="B463" s="230"/>
      <c r="C463" s="42"/>
      <c r="D463" s="231"/>
      <c r="E463" s="44"/>
      <c r="F463" s="44"/>
      <c r="G463" s="45" t="s">
        <v>113</v>
      </c>
      <c r="H463" s="46" t="s">
        <v>20</v>
      </c>
      <c r="I463" s="66"/>
      <c r="J463" s="66"/>
      <c r="K463" s="232"/>
      <c r="L463" s="52"/>
      <c r="M463" s="52">
        <v>0</v>
      </c>
      <c r="N463" s="52"/>
    </row>
    <row r="464" spans="1:14" ht="21.75" customHeight="1" x14ac:dyDescent="0.55000000000000004">
      <c r="A464" s="229"/>
      <c r="B464" s="230"/>
      <c r="C464" s="42"/>
      <c r="D464" s="231"/>
      <c r="E464" s="44"/>
      <c r="F464" s="44"/>
      <c r="G464" s="45" t="s">
        <v>114</v>
      </c>
      <c r="H464" s="46" t="s">
        <v>20</v>
      </c>
      <c r="I464" s="66"/>
      <c r="J464" s="66"/>
      <c r="K464" s="232"/>
      <c r="L464" s="52"/>
      <c r="M464" s="53">
        <v>0</v>
      </c>
      <c r="N464" s="52"/>
    </row>
    <row r="465" spans="1:14" ht="21.75" customHeight="1" x14ac:dyDescent="0.55000000000000004">
      <c r="A465" s="229"/>
      <c r="B465" s="230"/>
      <c r="C465" s="42"/>
      <c r="D465" s="231"/>
      <c r="E465" s="44"/>
      <c r="F465" s="44"/>
      <c r="G465" s="45" t="s">
        <v>115</v>
      </c>
      <c r="H465" s="46" t="s">
        <v>20</v>
      </c>
      <c r="I465" s="66"/>
      <c r="J465" s="66"/>
      <c r="K465" s="232"/>
      <c r="L465" s="52"/>
      <c r="M465" s="53">
        <v>0</v>
      </c>
      <c r="N465" s="52"/>
    </row>
    <row r="466" spans="1:14" ht="21.75" customHeight="1" x14ac:dyDescent="0.55000000000000004">
      <c r="A466" s="54"/>
      <c r="B466" s="55"/>
      <c r="C466" s="55"/>
      <c r="D466" s="74"/>
      <c r="E466" s="73" t="s">
        <v>21</v>
      </c>
      <c r="F466" s="260" t="s">
        <v>189</v>
      </c>
      <c r="G466" s="240"/>
      <c r="H466" s="316" t="s">
        <v>16</v>
      </c>
      <c r="I466" s="265">
        <f ca="1">IFERROR(__xludf.DUMMYFUNCTION("IMPORTRANGE(""https://docs.google.com/spreadsheets/d/1C3CXT74ZlgGe6_JY_1olB1XN4rF0dxEuIIF-xsYjHgg/edit?usp=sharing"",""งบกองทุน!Ed66"")"),100)</f>
        <v>100</v>
      </c>
      <c r="J466" s="265">
        <f>+J469+J470+J471+J472</f>
        <v>0</v>
      </c>
      <c r="K466" s="79">
        <f ca="1">IF(I466&gt;0,J466*100/I466,0)</f>
        <v>0</v>
      </c>
      <c r="L466" s="60"/>
      <c r="M466" s="60"/>
      <c r="N466" s="60"/>
    </row>
    <row r="467" spans="1:14" ht="21.75" customHeight="1" x14ac:dyDescent="0.55000000000000004">
      <c r="A467" s="54"/>
      <c r="B467" s="55"/>
      <c r="C467" s="55"/>
      <c r="D467" s="74"/>
      <c r="E467" s="74"/>
      <c r="F467" s="73" t="s">
        <v>190</v>
      </c>
      <c r="G467" s="75"/>
      <c r="H467" s="317"/>
      <c r="I467" s="47"/>
      <c r="J467" s="47"/>
      <c r="K467" s="48"/>
      <c r="L467" s="60"/>
      <c r="M467" s="60"/>
      <c r="N467" s="60"/>
    </row>
    <row r="468" spans="1:14" ht="21.75" customHeight="1" x14ac:dyDescent="0.55000000000000004">
      <c r="A468" s="54"/>
      <c r="B468" s="55"/>
      <c r="C468" s="55"/>
      <c r="D468" s="74"/>
      <c r="E468" s="73" t="s">
        <v>21</v>
      </c>
      <c r="F468" s="73" t="s">
        <v>191</v>
      </c>
      <c r="G468" s="75"/>
      <c r="H468" s="317" t="s">
        <v>57</v>
      </c>
      <c r="I468" s="47">
        <v>0</v>
      </c>
      <c r="J468" s="67">
        <v>0</v>
      </c>
      <c r="K468" s="48">
        <f t="shared" ref="K468:K472" si="104">IF(I468&gt;0,J468*100/I468,0)</f>
        <v>0</v>
      </c>
      <c r="L468" s="60"/>
      <c r="M468" s="60"/>
      <c r="N468" s="60"/>
    </row>
    <row r="469" spans="1:14" ht="21.75" customHeight="1" x14ac:dyDescent="0.55000000000000004">
      <c r="A469" s="54"/>
      <c r="B469" s="55"/>
      <c r="C469" s="55"/>
      <c r="D469" s="74"/>
      <c r="E469" s="74"/>
      <c r="F469" s="73" t="s">
        <v>192</v>
      </c>
      <c r="G469" s="75"/>
      <c r="H469" s="317" t="s">
        <v>16</v>
      </c>
      <c r="I469" s="47">
        <v>0</v>
      </c>
      <c r="J469" s="67">
        <v>0</v>
      </c>
      <c r="K469" s="48">
        <f t="shared" si="104"/>
        <v>0</v>
      </c>
      <c r="L469" s="60"/>
      <c r="M469" s="60"/>
      <c r="N469" s="60"/>
    </row>
    <row r="470" spans="1:14" ht="21.75" customHeight="1" x14ac:dyDescent="0.55000000000000004">
      <c r="A470" s="54"/>
      <c r="B470" s="55"/>
      <c r="C470" s="55"/>
      <c r="D470" s="74"/>
      <c r="E470" s="74"/>
      <c r="F470" s="73" t="s">
        <v>193</v>
      </c>
      <c r="G470" s="75"/>
      <c r="H470" s="317" t="s">
        <v>16</v>
      </c>
      <c r="I470" s="47">
        <v>0</v>
      </c>
      <c r="J470" s="67">
        <v>0</v>
      </c>
      <c r="K470" s="48">
        <f t="shared" si="104"/>
        <v>0</v>
      </c>
      <c r="L470" s="60"/>
      <c r="M470" s="60"/>
      <c r="N470" s="60"/>
    </row>
    <row r="471" spans="1:14" ht="21.75" customHeight="1" x14ac:dyDescent="0.55000000000000004">
      <c r="A471" s="54"/>
      <c r="B471" s="55"/>
      <c r="C471" s="55"/>
      <c r="D471" s="74"/>
      <c r="E471" s="74"/>
      <c r="F471" s="73" t="s">
        <v>194</v>
      </c>
      <c r="G471" s="266"/>
      <c r="H471" s="317" t="s">
        <v>16</v>
      </c>
      <c r="I471" s="47">
        <v>0</v>
      </c>
      <c r="J471" s="67">
        <v>0</v>
      </c>
      <c r="K471" s="48">
        <f t="shared" si="104"/>
        <v>0</v>
      </c>
      <c r="L471" s="60"/>
      <c r="M471" s="60"/>
      <c r="N471" s="60"/>
    </row>
    <row r="472" spans="1:14" ht="21.75" customHeight="1" x14ac:dyDescent="0.55000000000000004">
      <c r="A472" s="54"/>
      <c r="B472" s="55"/>
      <c r="C472" s="55"/>
      <c r="D472" s="74"/>
      <c r="E472" s="74"/>
      <c r="F472" s="73" t="s">
        <v>195</v>
      </c>
      <c r="G472" s="266"/>
      <c r="H472" s="317" t="s">
        <v>16</v>
      </c>
      <c r="I472" s="47">
        <v>0</v>
      </c>
      <c r="J472" s="67">
        <v>0</v>
      </c>
      <c r="K472" s="48">
        <f t="shared" si="104"/>
        <v>0</v>
      </c>
      <c r="L472" s="60"/>
      <c r="M472" s="60"/>
      <c r="N472" s="60"/>
    </row>
    <row r="473" spans="1:14" ht="21.75" customHeight="1" x14ac:dyDescent="0.55000000000000004">
      <c r="A473" s="221"/>
      <c r="B473" s="222">
        <v>9</v>
      </c>
      <c r="C473" s="223" t="s">
        <v>196</v>
      </c>
      <c r="D473" s="223"/>
      <c r="E473" s="223"/>
      <c r="F473" s="223"/>
      <c r="G473" s="224"/>
      <c r="H473" s="225" t="s">
        <v>16</v>
      </c>
      <c r="I473" s="226">
        <f ca="1">I484</f>
        <v>0</v>
      </c>
      <c r="J473" s="226">
        <f ca="1">J488</f>
        <v>0</v>
      </c>
      <c r="K473" s="227">
        <f ca="1">IF(I473&gt;0,J473*100/I473,0)</f>
        <v>0</v>
      </c>
      <c r="L473" s="228">
        <f ca="1">SUM(L474,L475)</f>
        <v>0</v>
      </c>
      <c r="M473" s="228">
        <f>SUM(M474:M475)</f>
        <v>0</v>
      </c>
      <c r="N473" s="228">
        <f t="shared" ref="N473:N477" ca="1" si="105">+IF(L473&gt;0,M473*100/L473,0)</f>
        <v>0</v>
      </c>
    </row>
    <row r="474" spans="1:14" ht="21.75" customHeight="1" x14ac:dyDescent="0.55000000000000004">
      <c r="A474" s="41"/>
      <c r="B474" s="42"/>
      <c r="C474" s="42" t="s">
        <v>17</v>
      </c>
      <c r="D474" s="43" t="s">
        <v>18</v>
      </c>
      <c r="E474" s="44"/>
      <c r="F474" s="44"/>
      <c r="G474" s="45" t="s">
        <v>19</v>
      </c>
      <c r="H474" s="46" t="s">
        <v>20</v>
      </c>
      <c r="I474" s="47" t="s">
        <v>21</v>
      </c>
      <c r="J474" s="47"/>
      <c r="K474" s="48"/>
      <c r="L474" s="49">
        <v>0</v>
      </c>
      <c r="M474" s="52">
        <v>0</v>
      </c>
      <c r="N474" s="52">
        <f t="shared" si="105"/>
        <v>0</v>
      </c>
    </row>
    <row r="475" spans="1:14" ht="21.75" customHeight="1" x14ac:dyDescent="0.55000000000000004">
      <c r="A475" s="41"/>
      <c r="B475" s="42"/>
      <c r="C475" s="42"/>
      <c r="D475" s="50"/>
      <c r="E475" s="44"/>
      <c r="F475" s="44" t="s">
        <v>21</v>
      </c>
      <c r="G475" s="45" t="s">
        <v>22</v>
      </c>
      <c r="H475" s="46" t="s">
        <v>20</v>
      </c>
      <c r="I475" s="47"/>
      <c r="J475" s="47"/>
      <c r="K475" s="48"/>
      <c r="L475" s="49">
        <f t="shared" ref="L475:M475" ca="1" si="106">SUM(L476:L477)</f>
        <v>0</v>
      </c>
      <c r="M475" s="52">
        <f t="shared" si="106"/>
        <v>0</v>
      </c>
      <c r="N475" s="52">
        <f t="shared" ca="1" si="105"/>
        <v>0</v>
      </c>
    </row>
    <row r="476" spans="1:14" ht="21.75" customHeight="1" x14ac:dyDescent="0.55000000000000004">
      <c r="A476" s="41"/>
      <c r="B476" s="42"/>
      <c r="C476" s="42"/>
      <c r="D476" s="50"/>
      <c r="E476" s="44"/>
      <c r="F476" s="44"/>
      <c r="G476" s="51" t="s">
        <v>110</v>
      </c>
      <c r="H476" s="46" t="s">
        <v>20</v>
      </c>
      <c r="I476" s="47"/>
      <c r="J476" s="47"/>
      <c r="K476" s="48"/>
      <c r="L476" s="52">
        <f ca="1">IFERROR(__xludf.DUMMYFUNCTION("IMPORTRANGE(""https://docs.google.com/spreadsheets/d/1C3CXT74ZlgGe6_JY_1olB1XN4rF0dxEuIIF-xsYjHgg/edit?usp=sharing"",""งบกองทุน!Ek66"")"),0)</f>
        <v>0</v>
      </c>
      <c r="M476" s="52">
        <v>0</v>
      </c>
      <c r="N476" s="52">
        <f t="shared" ca="1" si="105"/>
        <v>0</v>
      </c>
    </row>
    <row r="477" spans="1:14" ht="21.75" customHeight="1" x14ac:dyDescent="0.55000000000000004">
      <c r="A477" s="41"/>
      <c r="B477" s="42"/>
      <c r="C477" s="42"/>
      <c r="D477" s="50"/>
      <c r="E477" s="44"/>
      <c r="F477" s="44"/>
      <c r="G477" s="51" t="s">
        <v>111</v>
      </c>
      <c r="H477" s="46" t="s">
        <v>20</v>
      </c>
      <c r="I477" s="47"/>
      <c r="J477" s="47"/>
      <c r="K477" s="48"/>
      <c r="L477" s="52">
        <f ca="1">IFERROR(__xludf.DUMMYFUNCTION("IMPORTRANGE(""https://docs.google.com/spreadsheets/d/1C3CXT74ZlgGe6_JY_1olB1XN4rF0dxEuIIF-xsYjHgg/edit?usp=sharing"",""งบกองทุน!El66"")"),0)</f>
        <v>0</v>
      </c>
      <c r="M477" s="52">
        <f>SUM(M478:M481)</f>
        <v>0</v>
      </c>
      <c r="N477" s="52">
        <f t="shared" ca="1" si="105"/>
        <v>0</v>
      </c>
    </row>
    <row r="478" spans="1:14" ht="21.75" customHeight="1" x14ac:dyDescent="0.55000000000000004">
      <c r="A478" s="229"/>
      <c r="B478" s="230"/>
      <c r="C478" s="42"/>
      <c r="D478" s="231"/>
      <c r="E478" s="44"/>
      <c r="F478" s="44"/>
      <c r="G478" s="45" t="s">
        <v>112</v>
      </c>
      <c r="H478" s="46" t="s">
        <v>20</v>
      </c>
      <c r="I478" s="66"/>
      <c r="J478" s="66"/>
      <c r="K478" s="232"/>
      <c r="L478" s="52"/>
      <c r="M478" s="52">
        <v>0</v>
      </c>
      <c r="N478" s="52"/>
    </row>
    <row r="479" spans="1:14" ht="21.75" customHeight="1" x14ac:dyDescent="0.55000000000000004">
      <c r="A479" s="229"/>
      <c r="B479" s="230"/>
      <c r="C479" s="42"/>
      <c r="D479" s="231"/>
      <c r="E479" s="44"/>
      <c r="F479" s="44"/>
      <c r="G479" s="45" t="s">
        <v>113</v>
      </c>
      <c r="H479" s="46" t="s">
        <v>20</v>
      </c>
      <c r="I479" s="66"/>
      <c r="J479" s="66"/>
      <c r="K479" s="232"/>
      <c r="L479" s="52"/>
      <c r="M479" s="52">
        <v>0</v>
      </c>
      <c r="N479" s="52"/>
    </row>
    <row r="480" spans="1:14" ht="21.75" customHeight="1" x14ac:dyDescent="0.55000000000000004">
      <c r="A480" s="229"/>
      <c r="B480" s="230"/>
      <c r="C480" s="42"/>
      <c r="D480" s="231"/>
      <c r="E480" s="44"/>
      <c r="F480" s="44"/>
      <c r="G480" s="45" t="s">
        <v>114</v>
      </c>
      <c r="H480" s="46" t="s">
        <v>20</v>
      </c>
      <c r="I480" s="66"/>
      <c r="J480" s="66"/>
      <c r="K480" s="232"/>
      <c r="L480" s="52"/>
      <c r="M480" s="52">
        <v>0</v>
      </c>
      <c r="N480" s="52"/>
    </row>
    <row r="481" spans="1:14" ht="21.75" customHeight="1" x14ac:dyDescent="0.55000000000000004">
      <c r="A481" s="229"/>
      <c r="B481" s="230"/>
      <c r="C481" s="42"/>
      <c r="D481" s="231"/>
      <c r="E481" s="44"/>
      <c r="F481" s="44"/>
      <c r="G481" s="45" t="s">
        <v>115</v>
      </c>
      <c r="H481" s="46" t="s">
        <v>20</v>
      </c>
      <c r="I481" s="66"/>
      <c r="J481" s="66"/>
      <c r="K481" s="232"/>
      <c r="L481" s="52"/>
      <c r="M481" s="52">
        <v>0</v>
      </c>
      <c r="N481" s="52"/>
    </row>
    <row r="482" spans="1:14" ht="21.75" customHeight="1" x14ac:dyDescent="0.55000000000000004">
      <c r="A482" s="318"/>
      <c r="B482" s="50"/>
      <c r="C482" s="42"/>
      <c r="D482" s="154"/>
      <c r="E482" s="73" t="s">
        <v>197</v>
      </c>
      <c r="F482" s="74"/>
      <c r="G482" s="75"/>
      <c r="H482" s="59" t="s">
        <v>15</v>
      </c>
      <c r="I482" s="199">
        <f ca="1">IFERROR(__xludf.DUMMYFUNCTION("IMPORTRANGE(""https://docs.google.com/spreadsheets/d/1C3CXT74ZlgGe6_JY_1olB1XN4rF0dxEuIIF-xsYjHgg/edit?usp=sharing"",""งบกองทุน!Em66"")"),0)</f>
        <v>0</v>
      </c>
      <c r="J482" s="66">
        <f ca="1">IFERROR(__xludf.DUMMYFUNCTION("IMPORTRANGE(""https://docs.google.com/spreadsheets/d/1AGHcLOeeYFL3K4b9R1dSzyJy00PE_ra89DNTVfnxSWM/edit?usp=sharing"",""รวมที่ชุมชน!G55"")"),0)</f>
        <v>0</v>
      </c>
      <c r="K482" s="48">
        <f t="shared" ref="K482:K489" ca="1" si="107">IF(I482&gt;0,J482*100/I482,0)</f>
        <v>0</v>
      </c>
      <c r="L482" s="60"/>
      <c r="M482" s="52"/>
      <c r="N482" s="60"/>
    </row>
    <row r="483" spans="1:14" ht="21.75" customHeight="1" x14ac:dyDescent="0.55000000000000004">
      <c r="A483" s="318"/>
      <c r="B483" s="50"/>
      <c r="C483" s="42"/>
      <c r="D483" s="154"/>
      <c r="E483" s="74"/>
      <c r="F483" s="74"/>
      <c r="G483" s="75"/>
      <c r="H483" s="59" t="s">
        <v>103</v>
      </c>
      <c r="I483" s="199">
        <f ca="1">IFERROR(__xludf.DUMMYFUNCTION("IMPORTRANGE(""https://docs.google.com/spreadsheets/d/1C3CXT74ZlgGe6_JY_1olB1XN4rF0dxEuIIF-xsYjHgg/edit?usp=sharing"",""งบกองทุน!En66"")"),0)</f>
        <v>0</v>
      </c>
      <c r="J483" s="66">
        <f ca="1">IFERROR(__xludf.DUMMYFUNCTION("IMPORTRANGE(""https://docs.google.com/spreadsheets/d/1AGHcLOeeYFL3K4b9R1dSzyJy00PE_ra89DNTVfnxSWM/edit?usp=sharing"",""รวมที่ชุมชน!H55"")"),0)</f>
        <v>0</v>
      </c>
      <c r="K483" s="200">
        <f t="shared" ca="1" si="107"/>
        <v>0</v>
      </c>
      <c r="L483" s="60"/>
      <c r="M483" s="52"/>
      <c r="N483" s="60"/>
    </row>
    <row r="484" spans="1:14" ht="21.75" customHeight="1" x14ac:dyDescent="0.55000000000000004">
      <c r="A484" s="318"/>
      <c r="B484" s="50"/>
      <c r="C484" s="42"/>
      <c r="D484" s="154"/>
      <c r="E484" s="73" t="s">
        <v>104</v>
      </c>
      <c r="F484" s="74"/>
      <c r="G484" s="75"/>
      <c r="H484" s="59" t="s">
        <v>16</v>
      </c>
      <c r="I484" s="199">
        <f ca="1">IFERROR(__xludf.DUMMYFUNCTION("IMPORTRANGE(""https://docs.google.com/spreadsheets/d/1C3CXT74ZlgGe6_JY_1olB1XN4rF0dxEuIIF-xsYjHgg/edit?usp=sharing"",""งบกองทุน!Eo66"")"),0)</f>
        <v>0</v>
      </c>
      <c r="J484" s="66">
        <f ca="1">IFERROR(__xludf.DUMMYFUNCTION("IMPORTRANGE(""https://docs.google.com/spreadsheets/d/1AGHcLOeeYFL3K4b9R1dSzyJy00PE_ra89DNTVfnxSWM/edit?usp=sharing"",""รวมที่ชุมชน!J55"")"),0)</f>
        <v>0</v>
      </c>
      <c r="K484" s="48">
        <f t="shared" ca="1" si="107"/>
        <v>0</v>
      </c>
      <c r="L484" s="60"/>
      <c r="M484" s="52"/>
      <c r="N484" s="60"/>
    </row>
    <row r="485" spans="1:14" ht="21.75" customHeight="1" x14ac:dyDescent="0.55000000000000004">
      <c r="A485" s="318"/>
      <c r="B485" s="50"/>
      <c r="C485" s="42"/>
      <c r="D485" s="154"/>
      <c r="E485" s="74"/>
      <c r="F485" s="74"/>
      <c r="G485" s="75"/>
      <c r="H485" s="59" t="s">
        <v>103</v>
      </c>
      <c r="I485" s="199">
        <f ca="1">IFERROR(__xludf.DUMMYFUNCTION("IMPORTRANGE(""https://docs.google.com/spreadsheets/d/1C3CXT74ZlgGe6_JY_1olB1XN4rF0dxEuIIF-xsYjHgg/edit?usp=sharing"",""งบกองทุน!Ep66"")"),0)</f>
        <v>0</v>
      </c>
      <c r="J485" s="66">
        <f ca="1">IFERROR(__xludf.DUMMYFUNCTION("IMPORTRANGE(""https://docs.google.com/spreadsheets/d/1AGHcLOeeYFL3K4b9R1dSzyJy00PE_ra89DNTVfnxSWM/edit?usp=sharing"",""รวมที่ชุมชน!L55"")"),0)</f>
        <v>0</v>
      </c>
      <c r="K485" s="200">
        <f t="shared" ca="1" si="107"/>
        <v>0</v>
      </c>
      <c r="L485" s="60"/>
      <c r="M485" s="60"/>
      <c r="N485" s="60"/>
    </row>
    <row r="486" spans="1:14" ht="21.75" customHeight="1" x14ac:dyDescent="0.55000000000000004">
      <c r="A486" s="318"/>
      <c r="B486" s="50"/>
      <c r="C486" s="42"/>
      <c r="D486" s="154"/>
      <c r="E486" s="73" t="s">
        <v>105</v>
      </c>
      <c r="F486" s="74"/>
      <c r="G486" s="75"/>
      <c r="H486" s="59" t="s">
        <v>16</v>
      </c>
      <c r="I486" s="199">
        <f ca="1">IFERROR(__xludf.DUMMYFUNCTION("IMPORTRANGE(""https://docs.google.com/spreadsheets/d/1C3CXT74ZlgGe6_JY_1olB1XN4rF0dxEuIIF-xsYjHgg/edit?usp=sharing"",""งบกองทุน!Eq66"")"),0)</f>
        <v>0</v>
      </c>
      <c r="J486" s="66">
        <f ca="1">IFERROR(__xludf.DUMMYFUNCTION("IMPORTRANGE(""https://docs.google.com/spreadsheets/d/1AGHcLOeeYFL3K4b9R1dSzyJy00PE_ra89DNTVfnxSWM/edit?usp=sharing"",""รวมที่ชุมชน!S55"")"),0)</f>
        <v>0</v>
      </c>
      <c r="K486" s="48">
        <f t="shared" ca="1" si="107"/>
        <v>0</v>
      </c>
      <c r="L486" s="60"/>
      <c r="M486" s="60"/>
      <c r="N486" s="60"/>
    </row>
    <row r="487" spans="1:14" ht="21.75" customHeight="1" x14ac:dyDescent="0.55000000000000004">
      <c r="A487" s="318"/>
      <c r="B487" s="50"/>
      <c r="C487" s="42"/>
      <c r="D487" s="154"/>
      <c r="E487" s="74"/>
      <c r="F487" s="74"/>
      <c r="G487" s="75"/>
      <c r="H487" s="59" t="s">
        <v>103</v>
      </c>
      <c r="I487" s="199">
        <f ca="1">IFERROR(__xludf.DUMMYFUNCTION("IMPORTRANGE(""https://docs.google.com/spreadsheets/d/1C3CXT74ZlgGe6_JY_1olB1XN4rF0dxEuIIF-xsYjHgg/edit?usp=sharing"",""งบกองทุน!Er66"")"),0)</f>
        <v>0</v>
      </c>
      <c r="J487" s="66">
        <f ca="1">IFERROR(__xludf.DUMMYFUNCTION("IMPORTRANGE(""https://docs.google.com/spreadsheets/d/1AGHcLOeeYFL3K4b9R1dSzyJy00PE_ra89DNTVfnxSWM/edit?usp=sharing"",""รวมที่ชุมชน!U55"")"),0)</f>
        <v>0</v>
      </c>
      <c r="K487" s="200">
        <f t="shared" ca="1" si="107"/>
        <v>0</v>
      </c>
      <c r="L487" s="60"/>
      <c r="M487" s="60"/>
      <c r="N487" s="60"/>
    </row>
    <row r="488" spans="1:14" ht="21.75" customHeight="1" x14ac:dyDescent="0.55000000000000004">
      <c r="A488" s="318"/>
      <c r="B488" s="50"/>
      <c r="C488" s="42"/>
      <c r="D488" s="154"/>
      <c r="E488" s="73" t="s">
        <v>106</v>
      </c>
      <c r="F488" s="74"/>
      <c r="G488" s="75"/>
      <c r="H488" s="59" t="s">
        <v>16</v>
      </c>
      <c r="I488" s="199">
        <f ca="1">IFERROR(__xludf.DUMMYFUNCTION("IMPORTRANGE(""https://docs.google.com/spreadsheets/d/1C3CXT74ZlgGe6_JY_1olB1XN4rF0dxEuIIF-xsYjHgg/edit?usp=sharing"",""งบกองทุน!Es66"")"),0)</f>
        <v>0</v>
      </c>
      <c r="J488" s="66">
        <f ca="1">IFERROR(__xludf.DUMMYFUNCTION("IMPORTRANGE(""https://docs.google.com/spreadsheets/d/1AGHcLOeeYFL3K4b9R1dSzyJy00PE_ra89DNTVfnxSWM/edit?usp=sharing"",""รวมที่ชุมชน!V55"")"),0)</f>
        <v>0</v>
      </c>
      <c r="K488" s="48">
        <f t="shared" ca="1" si="107"/>
        <v>0</v>
      </c>
      <c r="L488" s="60"/>
      <c r="M488" s="60"/>
      <c r="N488" s="60"/>
    </row>
    <row r="489" spans="1:14" ht="21.75" customHeight="1" x14ac:dyDescent="0.55000000000000004">
      <c r="A489" s="319"/>
      <c r="B489" s="320"/>
      <c r="C489" s="321"/>
      <c r="D489" s="322"/>
      <c r="E489" s="296"/>
      <c r="F489" s="296"/>
      <c r="G489" s="297"/>
      <c r="H489" s="323" t="s">
        <v>103</v>
      </c>
      <c r="I489" s="324">
        <f ca="1">IFERROR(__xludf.DUMMYFUNCTION("IMPORTRANGE(""https://docs.google.com/spreadsheets/d/1C3CXT74ZlgGe6_JY_1olB1XN4rF0dxEuIIF-xsYjHgg/edit?usp=sharing"",""งบกองทุน!Et66"")"),0)</f>
        <v>0</v>
      </c>
      <c r="J489" s="111">
        <f ca="1">IFERROR(__xludf.DUMMYFUNCTION("IMPORTRANGE(""https://docs.google.com/spreadsheets/d/1AGHcLOeeYFL3K4b9R1dSzyJy00PE_ra89DNTVfnxSWM/edit?usp=sharing"",""รวมที่ชุมชน!X55"")"),0)</f>
        <v>0</v>
      </c>
      <c r="K489" s="347">
        <f t="shared" ca="1" si="107"/>
        <v>0</v>
      </c>
      <c r="L489" s="302"/>
      <c r="M489" s="302"/>
      <c r="N489" s="302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8">I504</f>
        <v>50</v>
      </c>
      <c r="J490" s="303">
        <f t="shared" si="108"/>
        <v>0</v>
      </c>
      <c r="K490" s="258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09">+IF(L490&gt;0,M490*100/L490,0)</f>
        <v>0</v>
      </c>
    </row>
    <row r="491" spans="1:14" ht="21.75" customHeight="1" x14ac:dyDescent="0.55000000000000004">
      <c r="A491" s="41"/>
      <c r="B491" s="42"/>
      <c r="C491" s="42" t="s">
        <v>17</v>
      </c>
      <c r="D491" s="43" t="s">
        <v>18</v>
      </c>
      <c r="E491" s="44"/>
      <c r="F491" s="44"/>
      <c r="G491" s="45" t="s">
        <v>19</v>
      </c>
      <c r="H491" s="46" t="s">
        <v>20</v>
      </c>
      <c r="I491" s="47" t="s">
        <v>21</v>
      </c>
      <c r="J491" s="47"/>
      <c r="K491" s="48"/>
      <c r="L491" s="49">
        <v>0</v>
      </c>
      <c r="M491" s="52">
        <v>0</v>
      </c>
      <c r="N491" s="52">
        <f t="shared" si="109"/>
        <v>0</v>
      </c>
    </row>
    <row r="492" spans="1:14" ht="21.75" customHeight="1" x14ac:dyDescent="0.55000000000000004">
      <c r="A492" s="41"/>
      <c r="B492" s="42"/>
      <c r="C492" s="42"/>
      <c r="D492" s="50"/>
      <c r="E492" s="44"/>
      <c r="F492" s="44" t="s">
        <v>21</v>
      </c>
      <c r="G492" s="45" t="s">
        <v>22</v>
      </c>
      <c r="H492" s="46" t="s">
        <v>20</v>
      </c>
      <c r="I492" s="47"/>
      <c r="J492" s="47"/>
      <c r="K492" s="48"/>
      <c r="L492" s="49">
        <f t="shared" ref="L492:M492" ca="1" si="110">SUM(L493:L494)</f>
        <v>4550</v>
      </c>
      <c r="M492" s="52">
        <f t="shared" si="110"/>
        <v>0</v>
      </c>
      <c r="N492" s="52">
        <f t="shared" ca="1" si="109"/>
        <v>0</v>
      </c>
    </row>
    <row r="493" spans="1:14" ht="21.75" customHeight="1" x14ac:dyDescent="0.55000000000000004">
      <c r="A493" s="41"/>
      <c r="B493" s="42"/>
      <c r="C493" s="42"/>
      <c r="D493" s="50"/>
      <c r="E493" s="44"/>
      <c r="F493" s="44"/>
      <c r="G493" s="51" t="s">
        <v>110</v>
      </c>
      <c r="H493" s="46" t="s">
        <v>20</v>
      </c>
      <c r="I493" s="47"/>
      <c r="J493" s="47"/>
      <c r="K493" s="48"/>
      <c r="L493" s="52">
        <f ca="1">IFERROR(__xludf.DUMMYFUNCTION("IMPORTRANGE(""https://docs.google.com/spreadsheets/d/1C3CXT74ZlgGe6_JY_1olB1XN4rF0dxEuIIF-xsYjHgg/edit?usp=sharing"",""งบกองทุน!Ev66"")"),0)</f>
        <v>0</v>
      </c>
      <c r="M493" s="52">
        <v>0</v>
      </c>
      <c r="N493" s="52">
        <f t="shared" ca="1" si="109"/>
        <v>0</v>
      </c>
    </row>
    <row r="494" spans="1:14" ht="21.75" customHeight="1" x14ac:dyDescent="0.55000000000000004">
      <c r="A494" s="41"/>
      <c r="B494" s="42"/>
      <c r="C494" s="42"/>
      <c r="D494" s="50"/>
      <c r="E494" s="44"/>
      <c r="F494" s="44"/>
      <c r="G494" s="51" t="s">
        <v>111</v>
      </c>
      <c r="H494" s="46" t="s">
        <v>20</v>
      </c>
      <c r="I494" s="47"/>
      <c r="J494" s="47"/>
      <c r="K494" s="48"/>
      <c r="L494" s="52">
        <f ca="1">IFERROR(__xludf.DUMMYFUNCTION("IMPORTRANGE(""https://docs.google.com/spreadsheets/d/1C3CXT74ZlgGe6_JY_1olB1XN4rF0dxEuIIF-xsYjHgg/edit?usp=sharing"",""งบกองทุน!Ew66"")"),4550)</f>
        <v>4550</v>
      </c>
      <c r="M494" s="52">
        <f>SUM(M495:M498)</f>
        <v>0</v>
      </c>
      <c r="N494" s="52">
        <f t="shared" ca="1" si="109"/>
        <v>0</v>
      </c>
    </row>
    <row r="495" spans="1:14" ht="21.75" customHeight="1" x14ac:dyDescent="0.55000000000000004">
      <c r="A495" s="229"/>
      <c r="B495" s="230"/>
      <c r="C495" s="42"/>
      <c r="D495" s="231"/>
      <c r="E495" s="44"/>
      <c r="F495" s="44"/>
      <c r="G495" s="45" t="s">
        <v>112</v>
      </c>
      <c r="H495" s="46" t="s">
        <v>20</v>
      </c>
      <c r="I495" s="66"/>
      <c r="J495" s="66"/>
      <c r="K495" s="232"/>
      <c r="L495" s="52"/>
      <c r="M495" s="52">
        <v>0</v>
      </c>
      <c r="N495" s="52"/>
    </row>
    <row r="496" spans="1:14" ht="21.75" customHeight="1" x14ac:dyDescent="0.55000000000000004">
      <c r="A496" s="229"/>
      <c r="B496" s="230"/>
      <c r="C496" s="42"/>
      <c r="D496" s="231"/>
      <c r="E496" s="44"/>
      <c r="F496" s="44"/>
      <c r="G496" s="45" t="s">
        <v>113</v>
      </c>
      <c r="H496" s="46" t="s">
        <v>20</v>
      </c>
      <c r="I496" s="66"/>
      <c r="J496" s="66"/>
      <c r="K496" s="232"/>
      <c r="L496" s="52"/>
      <c r="M496" s="52">
        <v>0</v>
      </c>
      <c r="N496" s="52"/>
    </row>
    <row r="497" spans="1:14" ht="21.75" customHeight="1" x14ac:dyDescent="0.55000000000000004">
      <c r="A497" s="229"/>
      <c r="B497" s="230"/>
      <c r="C497" s="42"/>
      <c r="D497" s="231"/>
      <c r="E497" s="44"/>
      <c r="F497" s="44"/>
      <c r="G497" s="45" t="s">
        <v>114</v>
      </c>
      <c r="H497" s="46" t="s">
        <v>20</v>
      </c>
      <c r="I497" s="66"/>
      <c r="J497" s="66"/>
      <c r="K497" s="232"/>
      <c r="L497" s="52"/>
      <c r="M497" s="53">
        <v>0</v>
      </c>
      <c r="N497" s="52"/>
    </row>
    <row r="498" spans="1:14" ht="21.75" customHeight="1" x14ac:dyDescent="0.55000000000000004">
      <c r="A498" s="229"/>
      <c r="B498" s="230"/>
      <c r="C498" s="42"/>
      <c r="D498" s="231"/>
      <c r="E498" s="44"/>
      <c r="F498" s="44"/>
      <c r="G498" s="45" t="s">
        <v>115</v>
      </c>
      <c r="H498" s="46" t="s">
        <v>20</v>
      </c>
      <c r="I498" s="66"/>
      <c r="J498" s="66"/>
      <c r="K498" s="232"/>
      <c r="L498" s="52"/>
      <c r="M498" s="53">
        <v>0</v>
      </c>
      <c r="N498" s="52"/>
    </row>
    <row r="499" spans="1:14" ht="21.75" customHeight="1" x14ac:dyDescent="0.55000000000000004">
      <c r="A499" s="54"/>
      <c r="B499" s="55"/>
      <c r="C499" s="42" t="s">
        <v>17</v>
      </c>
      <c r="D499" s="56" t="s">
        <v>25</v>
      </c>
      <c r="E499" s="57"/>
      <c r="F499" s="57"/>
      <c r="G499" s="58"/>
      <c r="H499" s="59"/>
      <c r="I499" s="47"/>
      <c r="J499" s="47"/>
      <c r="K499" s="48"/>
      <c r="L499" s="60"/>
      <c r="M499" s="60"/>
      <c r="N499" s="60"/>
    </row>
    <row r="500" spans="1:14" ht="21.75" customHeight="1" x14ac:dyDescent="0.55000000000000004">
      <c r="A500" s="54"/>
      <c r="B500" s="55"/>
      <c r="C500" s="55"/>
      <c r="D500" s="61">
        <v>1</v>
      </c>
      <c r="E500" s="62" t="s">
        <v>26</v>
      </c>
      <c r="F500" s="63"/>
      <c r="G500" s="64"/>
      <c r="H500" s="65"/>
      <c r="I500" s="66"/>
      <c r="J500" s="67">
        <v>0</v>
      </c>
      <c r="K500" s="48"/>
      <c r="L500" s="60"/>
      <c r="M500" s="60"/>
      <c r="N500" s="60"/>
    </row>
    <row r="501" spans="1:14" ht="21.75" customHeight="1" x14ac:dyDescent="0.55000000000000004">
      <c r="A501" s="54"/>
      <c r="B501" s="55"/>
      <c r="C501" s="55"/>
      <c r="D501" s="68">
        <v>2</v>
      </c>
      <c r="E501" s="69" t="s">
        <v>27</v>
      </c>
      <c r="F501" s="70"/>
      <c r="G501" s="71"/>
      <c r="H501" s="65"/>
      <c r="I501" s="66"/>
      <c r="J501" s="67">
        <v>1</v>
      </c>
      <c r="K501" s="48"/>
      <c r="L501" s="60" t="s">
        <v>21</v>
      </c>
      <c r="M501" s="60" t="s">
        <v>21</v>
      </c>
      <c r="N501" s="60"/>
    </row>
    <row r="502" spans="1:14" ht="21.75" hidden="1" customHeight="1" x14ac:dyDescent="0.55000000000000004">
      <c r="A502" s="325"/>
      <c r="B502" s="326"/>
      <c r="C502" s="326"/>
      <c r="D502" s="327"/>
      <c r="E502" s="328" t="s">
        <v>28</v>
      </c>
      <c r="F502" s="329"/>
      <c r="G502" s="330"/>
      <c r="H502" s="331"/>
      <c r="I502" s="332"/>
      <c r="J502" s="332">
        <v>0</v>
      </c>
      <c r="K502" s="333"/>
      <c r="L502" s="334"/>
      <c r="M502" s="334"/>
      <c r="N502" s="334"/>
    </row>
    <row r="503" spans="1:14" ht="21.75" hidden="1" customHeight="1" x14ac:dyDescent="0.55000000000000004">
      <c r="A503" s="325"/>
      <c r="B503" s="326"/>
      <c r="C503" s="326"/>
      <c r="D503" s="327"/>
      <c r="E503" s="328" t="s">
        <v>29</v>
      </c>
      <c r="F503" s="329"/>
      <c r="G503" s="330"/>
      <c r="H503" s="331"/>
      <c r="I503" s="332"/>
      <c r="J503" s="332">
        <v>0</v>
      </c>
      <c r="K503" s="333"/>
      <c r="L503" s="334"/>
      <c r="M503" s="334"/>
      <c r="N503" s="334"/>
    </row>
    <row r="504" spans="1:14" ht="21.75" customHeight="1" x14ac:dyDescent="0.55000000000000004">
      <c r="A504" s="54"/>
      <c r="B504" s="55"/>
      <c r="C504" s="55"/>
      <c r="D504" s="72"/>
      <c r="E504" s="74"/>
      <c r="F504" s="74" t="s">
        <v>199</v>
      </c>
      <c r="G504" s="75"/>
      <c r="H504" s="59" t="s">
        <v>103</v>
      </c>
      <c r="I504" s="66">
        <f ca="1">IFERROR(__xludf.DUMMYFUNCTION("IMPORTRANGE(""https://docs.google.com/spreadsheets/d/1C3CXT74ZlgGe6_JY_1olB1XN4rF0dxEuIIF-xsYjHgg/edit?usp=sharing"",""งบกองทุน!EZ66"")"),50)</f>
        <v>50</v>
      </c>
      <c r="J504" s="47">
        <f>+J510</f>
        <v>0</v>
      </c>
      <c r="K504" s="48">
        <f t="shared" ref="K504:K512" ca="1" si="111">IF(I$504&gt;0,J504*100/I$504,0)</f>
        <v>0</v>
      </c>
      <c r="L504" s="60"/>
      <c r="M504" s="60"/>
      <c r="N504" s="60"/>
    </row>
    <row r="505" spans="1:14" ht="21.75" customHeight="1" x14ac:dyDescent="0.55000000000000004">
      <c r="A505" s="54"/>
      <c r="B505" s="55"/>
      <c r="C505" s="55"/>
      <c r="D505" s="72"/>
      <c r="E505" s="76"/>
      <c r="F505" s="74"/>
      <c r="G505" s="98" t="s">
        <v>200</v>
      </c>
      <c r="H505" s="59" t="s">
        <v>103</v>
      </c>
      <c r="I505" s="66">
        <v>0</v>
      </c>
      <c r="J505" s="67">
        <v>0</v>
      </c>
      <c r="K505" s="48">
        <f t="shared" ca="1" si="111"/>
        <v>0</v>
      </c>
      <c r="L505" s="60"/>
      <c r="M505" s="60"/>
      <c r="N505" s="60"/>
    </row>
    <row r="506" spans="1:14" ht="21.75" customHeight="1" x14ac:dyDescent="0.55000000000000004">
      <c r="A506" s="54"/>
      <c r="B506" s="55"/>
      <c r="C506" s="55"/>
      <c r="D506" s="72"/>
      <c r="E506" s="76"/>
      <c r="F506" s="74"/>
      <c r="G506" s="98" t="s">
        <v>201</v>
      </c>
      <c r="H506" s="59" t="s">
        <v>103</v>
      </c>
      <c r="I506" s="66">
        <v>0</v>
      </c>
      <c r="J506" s="67">
        <v>0</v>
      </c>
      <c r="K506" s="48">
        <f t="shared" ca="1" si="111"/>
        <v>0</v>
      </c>
      <c r="L506" s="60"/>
      <c r="M506" s="60"/>
      <c r="N506" s="60"/>
    </row>
    <row r="507" spans="1:14" ht="21.75" customHeight="1" x14ac:dyDescent="0.55000000000000004">
      <c r="A507" s="54"/>
      <c r="B507" s="55"/>
      <c r="C507" s="55"/>
      <c r="D507" s="72"/>
      <c r="E507" s="76"/>
      <c r="F507" s="74"/>
      <c r="G507" s="98" t="s">
        <v>202</v>
      </c>
      <c r="H507" s="59" t="s">
        <v>103</v>
      </c>
      <c r="I507" s="66">
        <v>0</v>
      </c>
      <c r="J507" s="67">
        <v>0</v>
      </c>
      <c r="K507" s="48">
        <f t="shared" ca="1" si="111"/>
        <v>0</v>
      </c>
      <c r="L507" s="60"/>
      <c r="M507" s="60"/>
      <c r="N507" s="60"/>
    </row>
    <row r="508" spans="1:14" ht="21.75" customHeight="1" x14ac:dyDescent="0.55000000000000004">
      <c r="A508" s="54"/>
      <c r="B508" s="55"/>
      <c r="C508" s="55"/>
      <c r="D508" s="72"/>
      <c r="E508" s="76"/>
      <c r="F508" s="74"/>
      <c r="G508" s="98" t="s">
        <v>203</v>
      </c>
      <c r="H508" s="59" t="s">
        <v>103</v>
      </c>
      <c r="I508" s="66">
        <v>0</v>
      </c>
      <c r="J508" s="67">
        <v>0</v>
      </c>
      <c r="K508" s="48">
        <f t="shared" ca="1" si="111"/>
        <v>0</v>
      </c>
      <c r="L508" s="60"/>
      <c r="M508" s="60"/>
      <c r="N508" s="60"/>
    </row>
    <row r="509" spans="1:14" ht="21.75" customHeight="1" x14ac:dyDescent="0.55000000000000004">
      <c r="A509" s="54"/>
      <c r="B509" s="55"/>
      <c r="C509" s="55"/>
      <c r="D509" s="72"/>
      <c r="E509" s="76"/>
      <c r="F509" s="74"/>
      <c r="G509" s="73" t="s">
        <v>204</v>
      </c>
      <c r="H509" s="59" t="s">
        <v>103</v>
      </c>
      <c r="I509" s="66">
        <v>0</v>
      </c>
      <c r="J509" s="67">
        <v>0</v>
      </c>
      <c r="K509" s="48">
        <f t="shared" ca="1" si="111"/>
        <v>0</v>
      </c>
      <c r="L509" s="60"/>
      <c r="M509" s="60"/>
      <c r="N509" s="60"/>
    </row>
    <row r="510" spans="1:14" ht="21.75" customHeight="1" x14ac:dyDescent="0.55000000000000004">
      <c r="A510" s="54"/>
      <c r="B510" s="55"/>
      <c r="C510" s="55"/>
      <c r="D510" s="72"/>
      <c r="E510" s="76"/>
      <c r="F510" s="74"/>
      <c r="G510" s="73" t="s">
        <v>205</v>
      </c>
      <c r="H510" s="59" t="s">
        <v>103</v>
      </c>
      <c r="I510" s="66">
        <f t="shared" ref="I510:J510" si="112">I511+I512</f>
        <v>0</v>
      </c>
      <c r="J510" s="66">
        <f t="shared" si="112"/>
        <v>0</v>
      </c>
      <c r="K510" s="48">
        <f t="shared" ca="1" si="111"/>
        <v>0</v>
      </c>
      <c r="L510" s="60"/>
      <c r="M510" s="60"/>
      <c r="N510" s="60"/>
    </row>
    <row r="511" spans="1:14" ht="21.75" customHeight="1" x14ac:dyDescent="0.55000000000000004">
      <c r="A511" s="54"/>
      <c r="B511" s="55"/>
      <c r="C511" s="55"/>
      <c r="D511" s="72"/>
      <c r="E511" s="76"/>
      <c r="F511" s="74"/>
      <c r="G511" s="335" t="s">
        <v>206</v>
      </c>
      <c r="H511" s="59" t="s">
        <v>103</v>
      </c>
      <c r="I511" s="66">
        <v>0</v>
      </c>
      <c r="J511" s="67">
        <v>0</v>
      </c>
      <c r="K511" s="48">
        <f t="shared" ca="1" si="111"/>
        <v>0</v>
      </c>
      <c r="L511" s="60"/>
      <c r="M511" s="60"/>
      <c r="N511" s="60"/>
    </row>
    <row r="512" spans="1:14" ht="21.75" customHeight="1" x14ac:dyDescent="0.55000000000000004">
      <c r="A512" s="54"/>
      <c r="B512" s="55"/>
      <c r="C512" s="55"/>
      <c r="D512" s="72"/>
      <c r="E512" s="76"/>
      <c r="F512" s="74"/>
      <c r="G512" s="335" t="s">
        <v>207</v>
      </c>
      <c r="H512" s="59" t="s">
        <v>103</v>
      </c>
      <c r="I512" s="66">
        <v>0</v>
      </c>
      <c r="J512" s="67">
        <v>0</v>
      </c>
      <c r="K512" s="48">
        <f t="shared" ca="1" si="111"/>
        <v>0</v>
      </c>
      <c r="L512" s="60"/>
      <c r="M512" s="60"/>
      <c r="N512" s="60"/>
    </row>
    <row r="513" spans="1:14" ht="21.75" customHeight="1" x14ac:dyDescent="0.55000000000000004">
      <c r="A513" s="54"/>
      <c r="B513" s="55"/>
      <c r="C513" s="55"/>
      <c r="D513" s="72"/>
      <c r="E513" s="74"/>
      <c r="F513" s="73" t="s">
        <v>208</v>
      </c>
      <c r="G513" s="75"/>
      <c r="H513" s="59" t="s">
        <v>103</v>
      </c>
      <c r="I513" s="66">
        <f ca="1">IFERROR(__xludf.DUMMYFUNCTION("IMPORTRANGE(""https://docs.google.com/spreadsheets/d/1C3CXT74ZlgGe6_JY_1olB1XN4rF0dxEuIIF-xsYjHgg/edit?usp=sharing"",""งบกองทุน!ff66"")"),0)</f>
        <v>0</v>
      </c>
      <c r="J513" s="47">
        <f>J514</f>
        <v>0</v>
      </c>
      <c r="K513" s="48">
        <f t="shared" ref="K513:K519" ca="1" si="113">IF(I$513&gt;0,J513*100/I$513,0)</f>
        <v>0</v>
      </c>
      <c r="L513" s="60"/>
      <c r="M513" s="60"/>
      <c r="N513" s="60"/>
    </row>
    <row r="514" spans="1:14" ht="21.75" customHeight="1" x14ac:dyDescent="0.55000000000000004">
      <c r="A514" s="54"/>
      <c r="B514" s="55"/>
      <c r="C514" s="55"/>
      <c r="D514" s="72"/>
      <c r="E514" s="76"/>
      <c r="F514" s="74"/>
      <c r="G514" s="98" t="s">
        <v>205</v>
      </c>
      <c r="H514" s="59" t="s">
        <v>103</v>
      </c>
      <c r="I514" s="47">
        <f t="shared" ref="I514:J514" si="114">I515+I516</f>
        <v>0</v>
      </c>
      <c r="J514" s="47">
        <f t="shared" si="114"/>
        <v>0</v>
      </c>
      <c r="K514" s="48">
        <f t="shared" ca="1" si="113"/>
        <v>0</v>
      </c>
      <c r="L514" s="60"/>
      <c r="M514" s="60"/>
      <c r="N514" s="60"/>
    </row>
    <row r="515" spans="1:14" ht="21.75" customHeight="1" x14ac:dyDescent="0.55000000000000004">
      <c r="A515" s="54"/>
      <c r="B515" s="55"/>
      <c r="C515" s="55"/>
      <c r="D515" s="72"/>
      <c r="E515" s="76"/>
      <c r="F515" s="74"/>
      <c r="G515" s="335" t="s">
        <v>206</v>
      </c>
      <c r="H515" s="59" t="s">
        <v>103</v>
      </c>
      <c r="I515" s="66">
        <v>0</v>
      </c>
      <c r="J515" s="67">
        <v>0</v>
      </c>
      <c r="K515" s="48">
        <f t="shared" ca="1" si="113"/>
        <v>0</v>
      </c>
      <c r="L515" s="60"/>
      <c r="M515" s="60"/>
      <c r="N515" s="60"/>
    </row>
    <row r="516" spans="1:14" ht="21.75" customHeight="1" x14ac:dyDescent="0.55000000000000004">
      <c r="A516" s="54"/>
      <c r="B516" s="55"/>
      <c r="C516" s="55"/>
      <c r="D516" s="72"/>
      <c r="E516" s="76"/>
      <c r="F516" s="74"/>
      <c r="G516" s="335" t="s">
        <v>207</v>
      </c>
      <c r="H516" s="59" t="s">
        <v>103</v>
      </c>
      <c r="I516" s="66">
        <v>0</v>
      </c>
      <c r="J516" s="67">
        <v>0</v>
      </c>
      <c r="K516" s="48">
        <f t="shared" ca="1" si="113"/>
        <v>0</v>
      </c>
      <c r="L516" s="60"/>
      <c r="M516" s="60"/>
      <c r="N516" s="60"/>
    </row>
    <row r="517" spans="1:14" ht="21.75" customHeight="1" x14ac:dyDescent="0.55000000000000004">
      <c r="A517" s="54"/>
      <c r="B517" s="55"/>
      <c r="C517" s="55"/>
      <c r="D517" s="72"/>
      <c r="E517" s="76"/>
      <c r="F517" s="74"/>
      <c r="G517" s="98" t="s">
        <v>209</v>
      </c>
      <c r="H517" s="59" t="s">
        <v>103</v>
      </c>
      <c r="I517" s="66">
        <f t="shared" ref="I517:J517" si="115">SUM(I518:I519)</f>
        <v>0</v>
      </c>
      <c r="J517" s="66">
        <f t="shared" si="115"/>
        <v>0</v>
      </c>
      <c r="K517" s="48">
        <f t="shared" ca="1" si="113"/>
        <v>0</v>
      </c>
      <c r="L517" s="60"/>
      <c r="M517" s="60"/>
      <c r="N517" s="60"/>
    </row>
    <row r="518" spans="1:14" ht="21.75" customHeight="1" x14ac:dyDescent="0.55000000000000004">
      <c r="A518" s="54"/>
      <c r="B518" s="55"/>
      <c r="C518" s="55"/>
      <c r="D518" s="72"/>
      <c r="E518" s="76"/>
      <c r="F518" s="74"/>
      <c r="G518" s="335" t="s">
        <v>210</v>
      </c>
      <c r="H518" s="59" t="s">
        <v>103</v>
      </c>
      <c r="I518" s="66">
        <v>0</v>
      </c>
      <c r="J518" s="67">
        <v>0</v>
      </c>
      <c r="K518" s="48">
        <f t="shared" ca="1" si="113"/>
        <v>0</v>
      </c>
      <c r="L518" s="60"/>
      <c r="M518" s="60"/>
      <c r="N518" s="60"/>
    </row>
    <row r="519" spans="1:14" ht="21.75" customHeight="1" x14ac:dyDescent="0.55000000000000004">
      <c r="A519" s="54"/>
      <c r="B519" s="55"/>
      <c r="C519" s="55"/>
      <c r="D519" s="72"/>
      <c r="E519" s="76"/>
      <c r="F519" s="74"/>
      <c r="G519" s="335" t="s">
        <v>211</v>
      </c>
      <c r="H519" s="59" t="s">
        <v>103</v>
      </c>
      <c r="I519" s="66">
        <v>0</v>
      </c>
      <c r="J519" s="67">
        <v>0</v>
      </c>
      <c r="K519" s="48">
        <f t="shared" ca="1" si="113"/>
        <v>0</v>
      </c>
      <c r="L519" s="60"/>
      <c r="M519" s="60"/>
      <c r="N519" s="60"/>
    </row>
    <row r="520" spans="1:14" ht="21.75" customHeight="1" x14ac:dyDescent="0.55000000000000004">
      <c r="A520" s="336" t="s">
        <v>212</v>
      </c>
      <c r="B520" s="337"/>
      <c r="C520" s="337"/>
      <c r="D520" s="337"/>
      <c r="E520" s="337"/>
      <c r="F520" s="337"/>
      <c r="G520" s="338"/>
      <c r="H520" s="339"/>
      <c r="I520" s="340"/>
      <c r="J520" s="340"/>
      <c r="K520" s="341"/>
      <c r="L520" s="341"/>
      <c r="M520" s="341"/>
      <c r="N520" s="342"/>
    </row>
    <row r="521" spans="1:14" ht="21.75" customHeight="1" x14ac:dyDescent="0.55000000000000004">
      <c r="A521" s="318"/>
      <c r="B521" s="44" t="s">
        <v>213</v>
      </c>
      <c r="C521" s="42"/>
      <c r="D521" s="50"/>
      <c r="E521" s="44"/>
      <c r="F521" s="44"/>
      <c r="G521" s="45"/>
      <c r="H521" s="343" t="s">
        <v>20</v>
      </c>
      <c r="I521" s="199">
        <f ca="1">IFERROR(__xludf.DUMMYFUNCTION("IMPORTRANGE(""https://docs.google.com/spreadsheets/d/1muirlRDkqiswvy_NRZ3Yh955hx-PF6_HhssUYiSJj8o/edit?usp=sharing"",""กองทุน!D66"")"),3160000)</f>
        <v>3160000</v>
      </c>
      <c r="J521" s="199">
        <f ca="1">IFERROR(__xludf.DUMMYFUNCTION("IMPORTRANGE(""https://docs.google.com/spreadsheets/d/1muirlRDkqiswvy_NRZ3Yh955hx-PF6_HhssUYiSJj8o/edit?usp=sharing"",""กองทุน!F66"")"),0)</f>
        <v>0</v>
      </c>
      <c r="K521" s="200">
        <f t="shared" ref="K521:K528" ca="1" si="116">IF(I521&gt;0,J521*100/I521,0)</f>
        <v>0</v>
      </c>
      <c r="L521" s="200"/>
      <c r="M521" s="200"/>
      <c r="N521" s="52"/>
    </row>
    <row r="522" spans="1:14" ht="21.75" customHeight="1" x14ac:dyDescent="0.55000000000000004">
      <c r="A522" s="318"/>
      <c r="B522" s="42"/>
      <c r="C522" s="42"/>
      <c r="D522" s="50"/>
      <c r="E522" s="44"/>
      <c r="F522" s="44"/>
      <c r="G522" s="45"/>
      <c r="H522" s="343" t="s">
        <v>16</v>
      </c>
      <c r="I522" s="199">
        <f ca="1">IFERROR(__xludf.DUMMYFUNCTION("IMPORTRANGE(""https://docs.google.com/spreadsheets/d/1muirlRDkqiswvy_NRZ3Yh955hx-PF6_HhssUYiSJj8o/edit?usp=sharing"",""กองทุน!C66"")"),70)</f>
        <v>70</v>
      </c>
      <c r="J522" s="199">
        <f ca="1">IFERROR(__xludf.DUMMYFUNCTION("IMPORTRANGE(""https://docs.google.com/spreadsheets/d/1muirlRDkqiswvy_NRZ3Yh955hx-PF6_HhssUYiSJj8o/edit?usp=sharing"",""กองทุน!E66"")"),0)</f>
        <v>0</v>
      </c>
      <c r="K522" s="200">
        <f t="shared" ca="1" si="116"/>
        <v>0</v>
      </c>
      <c r="L522" s="200"/>
      <c r="M522" s="200"/>
      <c r="N522" s="52"/>
    </row>
    <row r="523" spans="1:14" ht="21.75" customHeight="1" x14ac:dyDescent="0.55000000000000004">
      <c r="A523" s="318"/>
      <c r="B523" s="44" t="s">
        <v>214</v>
      </c>
      <c r="C523" s="42"/>
      <c r="D523" s="50"/>
      <c r="E523" s="44"/>
      <c r="F523" s="44"/>
      <c r="G523" s="45"/>
      <c r="H523" s="343" t="s">
        <v>20</v>
      </c>
      <c r="I523" s="199">
        <f ca="1">IFERROR(__xludf.DUMMYFUNCTION("IMPORTRANGE(""https://docs.google.com/spreadsheets/d/1muirlRDkqiswvy_NRZ3Yh955hx-PF6_HhssUYiSJj8o/edit?usp=sharing"",""กองทุน!I66"")"),1274944.38)</f>
        <v>1274944.3799999999</v>
      </c>
      <c r="J523" s="199">
        <f ca="1">IFERROR(__xludf.DUMMYFUNCTION("IMPORTRANGE(""https://docs.google.com/spreadsheets/d/1muirlRDkqiswvy_NRZ3Yh955hx-PF6_HhssUYiSJj8o/edit?usp=sharing"",""กองทุน!K66"")"),83383.28)</f>
        <v>83383.28</v>
      </c>
      <c r="K523" s="200">
        <f t="shared" ca="1" si="116"/>
        <v>6.5401504024826567</v>
      </c>
      <c r="L523" s="200"/>
      <c r="M523" s="200"/>
      <c r="N523" s="52"/>
    </row>
    <row r="524" spans="1:14" ht="21.75" customHeight="1" x14ac:dyDescent="0.55000000000000004">
      <c r="A524" s="318"/>
      <c r="B524" s="42"/>
      <c r="C524" s="42"/>
      <c r="D524" s="50"/>
      <c r="E524" s="44"/>
      <c r="F524" s="44"/>
      <c r="G524" s="45"/>
      <c r="H524" s="343" t="s">
        <v>16</v>
      </c>
      <c r="I524" s="199">
        <f ca="1">IFERROR(__xludf.DUMMYFUNCTION("IMPORTRANGE(""https://docs.google.com/spreadsheets/d/1muirlRDkqiswvy_NRZ3Yh955hx-PF6_HhssUYiSJj8o/edit?usp=sharing"",""กองทุน!H66"")"),31)</f>
        <v>31</v>
      </c>
      <c r="J524" s="199">
        <f ca="1">IFERROR(__xludf.DUMMYFUNCTION("IMPORTRANGE(""https://docs.google.com/spreadsheets/d/1muirlRDkqiswvy_NRZ3Yh955hx-PF6_HhssUYiSJj8o/edit?usp=sharing"",""กองทุน!J66"")"),19)</f>
        <v>19</v>
      </c>
      <c r="K524" s="200">
        <f t="shared" ca="1" si="116"/>
        <v>61.29032258064516</v>
      </c>
      <c r="L524" s="200"/>
      <c r="M524" s="200"/>
      <c r="N524" s="52"/>
    </row>
    <row r="525" spans="1:14" ht="21.75" customHeight="1" x14ac:dyDescent="0.55000000000000004">
      <c r="A525" s="318"/>
      <c r="B525" s="44" t="s">
        <v>215</v>
      </c>
      <c r="C525" s="42"/>
      <c r="D525" s="50"/>
      <c r="E525" s="44"/>
      <c r="F525" s="44"/>
      <c r="G525" s="45"/>
      <c r="H525" s="343" t="s">
        <v>20</v>
      </c>
      <c r="I525" s="199">
        <f ca="1">IFERROR(__xludf.DUMMYFUNCTION("IMPORTRANGE(""https://docs.google.com/spreadsheets/d/1muirlRDkqiswvy_NRZ3Yh955hx-PF6_HhssUYiSJj8o/edit?usp=sharing"",""กองทุน!N66"")"),527309.05)</f>
        <v>527309.05000000005</v>
      </c>
      <c r="J525" s="199">
        <f ca="1">IFERROR(__xludf.DUMMYFUNCTION("IMPORTRANGE(""https://docs.google.com/spreadsheets/d/1muirlRDkqiswvy_NRZ3Yh955hx-PF6_HhssUYiSJj8o/edit?usp=sharing"",""กองทุน!P66"")"),4695.48)</f>
        <v>4695.4799999999996</v>
      </c>
      <c r="K525" s="200">
        <f t="shared" ca="1" si="116"/>
        <v>0.89046072696836875</v>
      </c>
      <c r="L525" s="200"/>
      <c r="M525" s="200"/>
      <c r="N525" s="52"/>
    </row>
    <row r="526" spans="1:14" ht="21.75" customHeight="1" x14ac:dyDescent="0.55000000000000004">
      <c r="A526" s="318"/>
      <c r="B526" s="44"/>
      <c r="C526" s="42"/>
      <c r="D526" s="50"/>
      <c r="E526" s="44"/>
      <c r="F526" s="44"/>
      <c r="G526" s="45"/>
      <c r="H526" s="343" t="s">
        <v>16</v>
      </c>
      <c r="I526" s="199">
        <f ca="1">IFERROR(__xludf.DUMMYFUNCTION("IMPORTRANGE(""https://docs.google.com/spreadsheets/d/1muirlRDkqiswvy_NRZ3Yh955hx-PF6_HhssUYiSJj8o/edit?usp=sharing"",""กองทุน!M66"")"),250)</f>
        <v>250</v>
      </c>
      <c r="J526" s="199">
        <f ca="1">IFERROR(__xludf.DUMMYFUNCTION("IMPORTRANGE(""https://docs.google.com/spreadsheets/d/1muirlRDkqiswvy_NRZ3Yh955hx-PF6_HhssUYiSJj8o/edit?usp=sharing"",""กองทุน!O66"")"),2)</f>
        <v>2</v>
      </c>
      <c r="K526" s="200">
        <f t="shared" ca="1" si="116"/>
        <v>0.8</v>
      </c>
      <c r="L526" s="200"/>
      <c r="M526" s="200"/>
      <c r="N526" s="52"/>
    </row>
    <row r="527" spans="1:14" ht="21.75" customHeight="1" x14ac:dyDescent="0.55000000000000004">
      <c r="A527" s="318"/>
      <c r="B527" s="44" t="s">
        <v>216</v>
      </c>
      <c r="C527" s="42"/>
      <c r="D527" s="50"/>
      <c r="E527" s="44"/>
      <c r="F527" s="44"/>
      <c r="G527" s="45"/>
      <c r="H527" s="343" t="s">
        <v>20</v>
      </c>
      <c r="I527" s="199">
        <f ca="1">IFERROR(__xludf.DUMMYFUNCTION("IMPORTRANGE(""https://docs.google.com/spreadsheets/d/1muirlRDkqiswvy_NRZ3Yh955hx-PF6_HhssUYiSJj8o/edit?usp=sharing"",""กองทุน!S66"")"),4410000)</f>
        <v>4410000</v>
      </c>
      <c r="J527" s="199">
        <f ca="1">IFERROR(__xludf.DUMMYFUNCTION("IMPORTRANGE(""https://docs.google.com/spreadsheets/d/1muirlRDkqiswvy_NRZ3Yh955hx-PF6_HhssUYiSJj8o/edit?usp=sharing"",""กองทุน!U66"")"),0)</f>
        <v>0</v>
      </c>
      <c r="K527" s="200">
        <f t="shared" ca="1" si="116"/>
        <v>0</v>
      </c>
      <c r="L527" s="200"/>
      <c r="M527" s="200"/>
      <c r="N527" s="52"/>
    </row>
    <row r="528" spans="1:14" ht="21.75" customHeight="1" x14ac:dyDescent="0.55000000000000004">
      <c r="A528" s="319"/>
      <c r="B528" s="321"/>
      <c r="C528" s="321"/>
      <c r="D528" s="320"/>
      <c r="E528" s="344"/>
      <c r="F528" s="344"/>
      <c r="G528" s="345"/>
      <c r="H528" s="346" t="s">
        <v>16</v>
      </c>
      <c r="I528" s="324">
        <f ca="1">IFERROR(__xludf.DUMMYFUNCTION("IMPORTRANGE(""https://docs.google.com/spreadsheets/d/1muirlRDkqiswvy_NRZ3Yh955hx-PF6_HhssUYiSJj8o/edit?usp=sharing"",""กองทุน!R66"")"),94)</f>
        <v>94</v>
      </c>
      <c r="J528" s="324">
        <f ca="1">IFERROR(__xludf.DUMMYFUNCTION("IMPORTRANGE(""https://docs.google.com/spreadsheets/d/1muirlRDkqiswvy_NRZ3Yh955hx-PF6_HhssUYiSJj8o/edit?usp=sharing"",""กองทุน!T66"")"),0)</f>
        <v>0</v>
      </c>
      <c r="K528" s="347">
        <f t="shared" ca="1" si="116"/>
        <v>0</v>
      </c>
      <c r="L528" s="347"/>
      <c r="M528" s="347"/>
      <c r="N528" s="348"/>
    </row>
    <row r="529" spans="1:14" ht="21.75" customHeight="1" x14ac:dyDescent="0.55000000000000004">
      <c r="A529" s="349"/>
      <c r="B529" s="349"/>
      <c r="C529" s="349"/>
      <c r="D529" s="349"/>
      <c r="E529" s="350" t="s">
        <v>217</v>
      </c>
      <c r="F529" s="350"/>
      <c r="G529" s="351"/>
      <c r="H529" s="352"/>
      <c r="I529" s="352"/>
      <c r="J529" s="352"/>
      <c r="K529" s="353"/>
      <c r="L529" s="354"/>
      <c r="M529" s="354"/>
      <c r="N529" s="355"/>
    </row>
    <row r="530" spans="1:14" ht="21.75" customHeight="1" x14ac:dyDescent="0.55000000000000004">
      <c r="A530" s="349"/>
      <c r="B530" s="349"/>
      <c r="C530" s="349"/>
      <c r="D530" s="349"/>
      <c r="E530" s="352"/>
      <c r="F530" s="352"/>
      <c r="G530" s="352"/>
      <c r="H530" s="352"/>
      <c r="I530" s="352"/>
      <c r="J530" s="352"/>
      <c r="K530" s="353"/>
      <c r="L530" s="354"/>
      <c r="M530" s="354"/>
      <c r="N530" s="355"/>
    </row>
    <row r="531" spans="1:14" ht="21.75" customHeight="1" x14ac:dyDescent="0.55000000000000004">
      <c r="A531" s="349"/>
      <c r="B531" s="349"/>
      <c r="C531" s="349"/>
      <c r="D531" s="349"/>
      <c r="E531" s="352"/>
      <c r="F531" s="352"/>
      <c r="G531" s="352"/>
      <c r="H531" s="352"/>
      <c r="I531" s="352"/>
      <c r="J531" s="352"/>
      <c r="K531" s="353"/>
      <c r="L531" s="354"/>
      <c r="M531" s="354"/>
      <c r="N531" s="355"/>
    </row>
    <row r="532" spans="1:14" ht="21.75" customHeight="1" x14ac:dyDescent="0.55000000000000004">
      <c r="A532" s="349"/>
      <c r="B532" s="349"/>
      <c r="C532" s="349"/>
      <c r="D532" s="349"/>
      <c r="E532" s="352"/>
      <c r="F532" s="352"/>
      <c r="G532" s="352"/>
      <c r="H532" s="352"/>
      <c r="I532" s="352"/>
      <c r="J532" s="352"/>
      <c r="K532" s="353"/>
      <c r="L532" s="354"/>
      <c r="M532" s="354"/>
      <c r="N532" s="355"/>
    </row>
    <row r="533" spans="1:14" ht="21.75" customHeight="1" x14ac:dyDescent="0.55000000000000004">
      <c r="A533" s="349"/>
      <c r="B533" s="349"/>
      <c r="C533" s="349"/>
      <c r="D533" s="349"/>
      <c r="E533" s="352"/>
      <c r="F533" s="352"/>
      <c r="G533" s="352"/>
      <c r="H533" s="352"/>
      <c r="I533" s="352"/>
      <c r="J533" s="352"/>
      <c r="K533" s="353"/>
      <c r="L533" s="354"/>
      <c r="M533" s="354"/>
      <c r="N533" s="355"/>
    </row>
    <row r="534" spans="1:14" ht="21.75" customHeight="1" x14ac:dyDescent="0.55000000000000004">
      <c r="A534" s="349"/>
      <c r="B534" s="349"/>
      <c r="C534" s="349"/>
      <c r="D534" s="349"/>
      <c r="E534" s="352"/>
      <c r="F534" s="352"/>
      <c r="G534" s="352"/>
      <c r="H534" s="352"/>
      <c r="I534" s="352"/>
      <c r="J534" s="352"/>
      <c r="K534" s="353"/>
      <c r="L534" s="354"/>
      <c r="M534" s="354"/>
      <c r="N534" s="355"/>
    </row>
    <row r="535" spans="1:14" ht="21.75" customHeight="1" x14ac:dyDescent="0.55000000000000004">
      <c r="A535" s="349"/>
      <c r="B535" s="349"/>
      <c r="C535" s="349"/>
      <c r="D535" s="349"/>
      <c r="E535" s="352"/>
      <c r="F535" s="352"/>
      <c r="G535" s="352"/>
      <c r="H535" s="352"/>
      <c r="I535" s="352"/>
      <c r="J535" s="352"/>
      <c r="K535" s="353"/>
      <c r="L535" s="354"/>
      <c r="M535" s="354"/>
      <c r="N535" s="355"/>
    </row>
    <row r="536" spans="1:14" ht="21.75" customHeight="1" x14ac:dyDescent="0.55000000000000004">
      <c r="A536" s="349"/>
      <c r="B536" s="349"/>
      <c r="C536" s="349"/>
      <c r="D536" s="349"/>
      <c r="E536" s="352"/>
      <c r="F536" s="352"/>
      <c r="G536" s="352"/>
      <c r="H536" s="352"/>
      <c r="I536" s="352"/>
      <c r="J536" s="352"/>
      <c r="K536" s="353"/>
      <c r="L536" s="354"/>
      <c r="M536" s="354"/>
      <c r="N536" s="355"/>
    </row>
    <row r="537" spans="1:14" ht="21.75" customHeight="1" x14ac:dyDescent="0.55000000000000004">
      <c r="A537" s="349"/>
      <c r="B537" s="349"/>
      <c r="C537" s="349"/>
      <c r="D537" s="349"/>
      <c r="E537" s="352"/>
      <c r="F537" s="352"/>
      <c r="G537" s="352"/>
      <c r="H537" s="352"/>
      <c r="I537" s="352"/>
      <c r="J537" s="352"/>
      <c r="K537" s="353"/>
      <c r="L537" s="354"/>
      <c r="M537" s="354"/>
      <c r="N537" s="355"/>
    </row>
    <row r="538" spans="1:14" ht="21.75" customHeight="1" x14ac:dyDescent="0.55000000000000004">
      <c r="A538" s="349"/>
      <c r="B538" s="349"/>
      <c r="C538" s="349"/>
      <c r="D538" s="349"/>
      <c r="E538" s="352"/>
      <c r="F538" s="352"/>
      <c r="G538" s="352"/>
      <c r="H538" s="352"/>
      <c r="I538" s="352"/>
      <c r="J538" s="352"/>
      <c r="K538" s="353"/>
      <c r="L538" s="354"/>
      <c r="M538" s="354"/>
      <c r="N538" s="355"/>
    </row>
    <row r="539" spans="1:14" ht="21.75" customHeight="1" x14ac:dyDescent="0.55000000000000004">
      <c r="A539" s="349"/>
      <c r="B539" s="349"/>
      <c r="C539" s="349"/>
      <c r="D539" s="349"/>
      <c r="E539" s="352"/>
      <c r="F539" s="352"/>
      <c r="G539" s="352"/>
      <c r="H539" s="352"/>
      <c r="I539" s="352"/>
      <c r="J539" s="352"/>
      <c r="K539" s="353"/>
      <c r="L539" s="354"/>
      <c r="M539" s="354"/>
      <c r="N539" s="355"/>
    </row>
    <row r="540" spans="1:14" ht="21.75" customHeight="1" x14ac:dyDescent="0.55000000000000004">
      <c r="A540" s="349"/>
      <c r="B540" s="349"/>
      <c r="C540" s="349"/>
      <c r="D540" s="349"/>
      <c r="E540" s="352"/>
      <c r="F540" s="352"/>
      <c r="G540" s="352"/>
      <c r="H540" s="352"/>
      <c r="I540" s="352"/>
      <c r="J540" s="352"/>
      <c r="K540" s="353"/>
      <c r="L540" s="354"/>
      <c r="M540" s="354"/>
      <c r="N540" s="355"/>
    </row>
    <row r="541" spans="1:14" ht="21.75" customHeight="1" x14ac:dyDescent="0.55000000000000004">
      <c r="A541" s="349"/>
      <c r="B541" s="349"/>
      <c r="C541" s="349"/>
      <c r="D541" s="349"/>
      <c r="E541" s="352"/>
      <c r="F541" s="352"/>
      <c r="G541" s="352"/>
      <c r="H541" s="352"/>
      <c r="I541" s="352"/>
      <c r="J541" s="352"/>
      <c r="K541" s="353"/>
      <c r="L541" s="354"/>
      <c r="M541" s="354"/>
      <c r="N541" s="355"/>
    </row>
    <row r="542" spans="1:14" ht="21.75" customHeight="1" x14ac:dyDescent="0.55000000000000004">
      <c r="A542" s="349"/>
      <c r="B542" s="349"/>
      <c r="C542" s="349"/>
      <c r="D542" s="349"/>
      <c r="E542" s="352"/>
      <c r="F542" s="352"/>
      <c r="G542" s="352"/>
      <c r="H542" s="352"/>
      <c r="I542" s="352"/>
      <c r="J542" s="352"/>
      <c r="K542" s="353"/>
      <c r="L542" s="354"/>
      <c r="M542" s="354"/>
      <c r="N542" s="355"/>
    </row>
    <row r="543" spans="1:14" ht="21.75" customHeight="1" x14ac:dyDescent="0.55000000000000004">
      <c r="A543" s="349"/>
      <c r="B543" s="349"/>
      <c r="C543" s="349"/>
      <c r="D543" s="349"/>
      <c r="E543" s="352"/>
      <c r="F543" s="352"/>
      <c r="G543" s="352"/>
      <c r="H543" s="352"/>
      <c r="I543" s="352"/>
      <c r="J543" s="352"/>
      <c r="K543" s="353"/>
      <c r="L543" s="354"/>
      <c r="M543" s="354"/>
      <c r="N543" s="355"/>
    </row>
    <row r="544" spans="1:14" ht="21.75" customHeight="1" x14ac:dyDescent="0.55000000000000004">
      <c r="A544" s="349"/>
      <c r="B544" s="349"/>
      <c r="C544" s="349"/>
      <c r="D544" s="349"/>
      <c r="E544" s="352"/>
      <c r="F544" s="352"/>
      <c r="G544" s="352"/>
      <c r="H544" s="352"/>
      <c r="I544" s="352"/>
      <c r="J544" s="352"/>
      <c r="K544" s="353"/>
      <c r="L544" s="354"/>
      <c r="M544" s="354"/>
      <c r="N544" s="355"/>
    </row>
    <row r="545" spans="1:14" ht="21.75" customHeight="1" x14ac:dyDescent="0.55000000000000004">
      <c r="A545" s="349"/>
      <c r="B545" s="349"/>
      <c r="C545" s="349"/>
      <c r="D545" s="349"/>
      <c r="E545" s="352"/>
      <c r="F545" s="352"/>
      <c r="G545" s="352"/>
      <c r="H545" s="352"/>
      <c r="I545" s="352"/>
      <c r="J545" s="352"/>
      <c r="K545" s="353"/>
      <c r="L545" s="354"/>
      <c r="M545" s="354"/>
      <c r="N545" s="355"/>
    </row>
    <row r="546" spans="1:14" ht="21.75" customHeight="1" x14ac:dyDescent="0.55000000000000004">
      <c r="A546" s="349"/>
      <c r="B546" s="349"/>
      <c r="C546" s="349"/>
      <c r="D546" s="349"/>
      <c r="E546" s="352"/>
      <c r="F546" s="352"/>
      <c r="G546" s="352"/>
      <c r="H546" s="352"/>
      <c r="I546" s="352"/>
      <c r="J546" s="352"/>
      <c r="K546" s="353"/>
      <c r="L546" s="354"/>
      <c r="M546" s="354"/>
      <c r="N546" s="355"/>
    </row>
    <row r="547" spans="1:14" ht="21.75" customHeight="1" x14ac:dyDescent="0.55000000000000004">
      <c r="A547" s="349"/>
      <c r="B547" s="349"/>
      <c r="C547" s="349"/>
      <c r="D547" s="349"/>
      <c r="E547" s="352"/>
      <c r="F547" s="352"/>
      <c r="G547" s="352"/>
      <c r="H547" s="352"/>
      <c r="I547" s="352"/>
      <c r="J547" s="352"/>
      <c r="K547" s="353"/>
      <c r="L547" s="354"/>
      <c r="M547" s="354"/>
      <c r="N547" s="355"/>
    </row>
    <row r="548" spans="1:14" ht="21.75" customHeight="1" x14ac:dyDescent="0.55000000000000004">
      <c r="A548" s="349"/>
      <c r="B548" s="349"/>
      <c r="C548" s="349"/>
      <c r="D548" s="349"/>
      <c r="E548" s="352"/>
      <c r="F548" s="352"/>
      <c r="G548" s="352"/>
      <c r="H548" s="352"/>
      <c r="I548" s="352"/>
      <c r="J548" s="352"/>
      <c r="K548" s="353"/>
      <c r="L548" s="354"/>
      <c r="M548" s="354"/>
      <c r="N548" s="355"/>
    </row>
    <row r="549" spans="1:14" ht="21.75" customHeight="1" x14ac:dyDescent="0.55000000000000004">
      <c r="A549" s="349"/>
      <c r="B549" s="349"/>
      <c r="C549" s="349"/>
      <c r="D549" s="349"/>
      <c r="E549" s="352"/>
      <c r="F549" s="352"/>
      <c r="G549" s="352"/>
      <c r="H549" s="352"/>
      <c r="I549" s="352"/>
      <c r="J549" s="352"/>
      <c r="K549" s="353"/>
      <c r="L549" s="354"/>
      <c r="M549" s="354"/>
      <c r="N549" s="355"/>
    </row>
    <row r="550" spans="1:14" ht="21.75" customHeight="1" x14ac:dyDescent="0.55000000000000004">
      <c r="A550" s="349"/>
      <c r="B550" s="349"/>
      <c r="C550" s="349"/>
      <c r="D550" s="349"/>
      <c r="E550" s="352"/>
      <c r="F550" s="352"/>
      <c r="G550" s="352"/>
      <c r="H550" s="352"/>
      <c r="I550" s="352"/>
      <c r="J550" s="352"/>
      <c r="K550" s="353"/>
      <c r="L550" s="354"/>
      <c r="M550" s="354"/>
      <c r="N550" s="355"/>
    </row>
    <row r="551" spans="1:14" ht="21.75" customHeight="1" x14ac:dyDescent="0.55000000000000004">
      <c r="A551" s="349"/>
      <c r="B551" s="349"/>
      <c r="C551" s="349"/>
      <c r="D551" s="349"/>
      <c r="E551" s="352"/>
      <c r="F551" s="352"/>
      <c r="G551" s="352"/>
      <c r="H551" s="352"/>
      <c r="I551" s="352"/>
      <c r="J551" s="352"/>
      <c r="K551" s="353"/>
      <c r="L551" s="354"/>
      <c r="M551" s="354"/>
      <c r="N551" s="355"/>
    </row>
    <row r="552" spans="1:14" ht="21.75" customHeight="1" x14ac:dyDescent="0.55000000000000004">
      <c r="A552" s="349"/>
      <c r="B552" s="349"/>
      <c r="C552" s="349"/>
      <c r="D552" s="349"/>
      <c r="E552" s="352"/>
      <c r="F552" s="352"/>
      <c r="G552" s="352"/>
      <c r="H552" s="352"/>
      <c r="I552" s="352"/>
      <c r="J552" s="352"/>
      <c r="K552" s="353"/>
      <c r="L552" s="354"/>
      <c r="M552" s="354"/>
      <c r="N552" s="355"/>
    </row>
    <row r="553" spans="1:14" ht="21.75" customHeight="1" x14ac:dyDescent="0.55000000000000004">
      <c r="A553" s="349"/>
      <c r="B553" s="349"/>
      <c r="C553" s="349"/>
      <c r="D553" s="349"/>
      <c r="E553" s="352"/>
      <c r="F553" s="352"/>
      <c r="G553" s="352"/>
      <c r="H553" s="352"/>
      <c r="I553" s="352"/>
      <c r="J553" s="352"/>
      <c r="K553" s="353"/>
      <c r="L553" s="354"/>
      <c r="M553" s="354"/>
      <c r="N553" s="355"/>
    </row>
    <row r="554" spans="1:14" ht="21.75" customHeight="1" x14ac:dyDescent="0.55000000000000004">
      <c r="A554" s="349"/>
      <c r="B554" s="349"/>
      <c r="C554" s="349"/>
      <c r="D554" s="349"/>
      <c r="E554" s="352"/>
      <c r="F554" s="352"/>
      <c r="G554" s="352"/>
      <c r="H554" s="352"/>
      <c r="I554" s="352"/>
      <c r="J554" s="352"/>
      <c r="K554" s="353"/>
      <c r="L554" s="354"/>
      <c r="M554" s="354"/>
      <c r="N554" s="355"/>
    </row>
    <row r="555" spans="1:14" ht="21.75" customHeight="1" x14ac:dyDescent="0.55000000000000004">
      <c r="A555" s="349"/>
      <c r="B555" s="349"/>
      <c r="C555" s="349"/>
      <c r="D555" s="349"/>
      <c r="E555" s="352"/>
      <c r="F555" s="352"/>
      <c r="G555" s="352"/>
      <c r="H555" s="352"/>
      <c r="I555" s="352"/>
      <c r="J555" s="352"/>
      <c r="K555" s="353"/>
      <c r="L555" s="354"/>
      <c r="M555" s="354"/>
      <c r="N555" s="355"/>
    </row>
    <row r="556" spans="1:14" ht="21.75" customHeight="1" x14ac:dyDescent="0.55000000000000004">
      <c r="A556" s="349"/>
      <c r="B556" s="349"/>
      <c r="C556" s="349"/>
      <c r="D556" s="349"/>
      <c r="E556" s="352"/>
      <c r="F556" s="352"/>
      <c r="G556" s="352"/>
      <c r="H556" s="352"/>
      <c r="I556" s="352"/>
      <c r="J556" s="352"/>
      <c r="K556" s="353"/>
      <c r="L556" s="354"/>
      <c r="M556" s="354"/>
      <c r="N556" s="355"/>
    </row>
    <row r="557" spans="1:14" ht="21.75" customHeight="1" x14ac:dyDescent="0.55000000000000004">
      <c r="A557" s="349"/>
      <c r="B557" s="349"/>
      <c r="C557" s="349"/>
      <c r="D557" s="349"/>
      <c r="E557" s="352"/>
      <c r="F557" s="352"/>
      <c r="G557" s="352"/>
      <c r="H557" s="352"/>
      <c r="I557" s="352"/>
      <c r="J557" s="352"/>
      <c r="K557" s="353"/>
      <c r="L557" s="354"/>
      <c r="M557" s="354"/>
      <c r="N557" s="355"/>
    </row>
    <row r="558" spans="1:14" ht="21.75" customHeight="1" x14ac:dyDescent="0.55000000000000004">
      <c r="A558" s="349"/>
      <c r="B558" s="349"/>
      <c r="C558" s="349"/>
      <c r="D558" s="349"/>
      <c r="E558" s="352"/>
      <c r="F558" s="352"/>
      <c r="G558" s="352"/>
      <c r="H558" s="352"/>
      <c r="I558" s="352"/>
      <c r="J558" s="352"/>
      <c r="K558" s="353"/>
      <c r="L558" s="354"/>
      <c r="M558" s="354"/>
      <c r="N558" s="355"/>
    </row>
    <row r="559" spans="1:14" ht="21.75" customHeight="1" x14ac:dyDescent="0.55000000000000004">
      <c r="A559" s="349"/>
      <c r="B559" s="349"/>
      <c r="C559" s="349"/>
      <c r="D559" s="349"/>
      <c r="E559" s="352"/>
      <c r="F559" s="352"/>
      <c r="G559" s="352"/>
      <c r="H559" s="352"/>
      <c r="I559" s="352"/>
      <c r="J559" s="352"/>
      <c r="K559" s="353"/>
      <c r="L559" s="354"/>
      <c r="M559" s="354"/>
      <c r="N559" s="355"/>
    </row>
    <row r="560" spans="1:14" ht="21.75" customHeight="1" x14ac:dyDescent="0.55000000000000004">
      <c r="A560" s="349"/>
      <c r="B560" s="349"/>
      <c r="C560" s="349"/>
      <c r="D560" s="349"/>
      <c r="E560" s="352"/>
      <c r="F560" s="352"/>
      <c r="G560" s="352"/>
      <c r="H560" s="352"/>
      <c r="I560" s="352"/>
      <c r="J560" s="352"/>
      <c r="K560" s="353"/>
      <c r="L560" s="354"/>
      <c r="M560" s="354"/>
      <c r="N560" s="355"/>
    </row>
    <row r="561" spans="1:14" ht="21.75" customHeight="1" x14ac:dyDescent="0.55000000000000004">
      <c r="A561" s="349"/>
      <c r="B561" s="349"/>
      <c r="C561" s="349"/>
      <c r="D561" s="349"/>
      <c r="E561" s="352"/>
      <c r="F561" s="352"/>
      <c r="G561" s="352"/>
      <c r="H561" s="352"/>
      <c r="I561" s="352"/>
      <c r="J561" s="352"/>
      <c r="K561" s="353"/>
      <c r="L561" s="354"/>
      <c r="M561" s="354"/>
      <c r="N561" s="355"/>
    </row>
    <row r="562" spans="1:14" ht="21.75" customHeight="1" x14ac:dyDescent="0.55000000000000004">
      <c r="A562" s="349"/>
      <c r="B562" s="349"/>
      <c r="C562" s="349"/>
      <c r="D562" s="349"/>
      <c r="E562" s="352"/>
      <c r="F562" s="352"/>
      <c r="G562" s="352"/>
      <c r="H562" s="352"/>
      <c r="I562" s="352"/>
      <c r="J562" s="352"/>
      <c r="K562" s="353"/>
      <c r="L562" s="354"/>
      <c r="M562" s="354"/>
      <c r="N562" s="355"/>
    </row>
    <row r="563" spans="1:14" ht="21.75" customHeight="1" x14ac:dyDescent="0.55000000000000004">
      <c r="A563" s="349"/>
      <c r="B563" s="349"/>
      <c r="C563" s="349"/>
      <c r="D563" s="349"/>
      <c r="E563" s="352"/>
      <c r="F563" s="352"/>
      <c r="G563" s="352"/>
      <c r="H563" s="352"/>
      <c r="I563" s="352"/>
      <c r="J563" s="352"/>
      <c r="K563" s="353"/>
      <c r="L563" s="354"/>
      <c r="M563" s="354"/>
      <c r="N563" s="355"/>
    </row>
    <row r="564" spans="1:14" ht="21.75" customHeight="1" x14ac:dyDescent="0.55000000000000004">
      <c r="A564" s="349"/>
      <c r="B564" s="349"/>
      <c r="C564" s="349"/>
      <c r="D564" s="349"/>
      <c r="E564" s="352"/>
      <c r="F564" s="352"/>
      <c r="G564" s="352"/>
      <c r="H564" s="352"/>
      <c r="I564" s="352"/>
      <c r="J564" s="352"/>
      <c r="K564" s="353"/>
      <c r="L564" s="354"/>
      <c r="M564" s="354"/>
      <c r="N564" s="355"/>
    </row>
    <row r="565" spans="1:14" ht="21.75" customHeight="1" x14ac:dyDescent="0.55000000000000004">
      <c r="A565" s="349"/>
      <c r="B565" s="349"/>
      <c r="C565" s="349"/>
      <c r="D565" s="349"/>
      <c r="E565" s="352"/>
      <c r="F565" s="352"/>
      <c r="G565" s="352"/>
      <c r="H565" s="352"/>
      <c r="I565" s="352"/>
      <c r="J565" s="352"/>
      <c r="K565" s="353"/>
      <c r="L565" s="354"/>
      <c r="M565" s="354"/>
      <c r="N565" s="355"/>
    </row>
    <row r="566" spans="1:14" ht="21.75" customHeight="1" x14ac:dyDescent="0.55000000000000004">
      <c r="A566" s="349"/>
      <c r="B566" s="349"/>
      <c r="C566" s="349"/>
      <c r="D566" s="349"/>
      <c r="E566" s="352"/>
      <c r="F566" s="352"/>
      <c r="G566" s="352"/>
      <c r="H566" s="352"/>
      <c r="I566" s="352"/>
      <c r="J566" s="352"/>
      <c r="K566" s="353"/>
      <c r="L566" s="354"/>
      <c r="M566" s="354"/>
      <c r="N566" s="355"/>
    </row>
    <row r="567" spans="1:14" ht="21.75" customHeight="1" x14ac:dyDescent="0.55000000000000004">
      <c r="A567" s="349"/>
      <c r="B567" s="349"/>
      <c r="C567" s="349"/>
      <c r="D567" s="349"/>
      <c r="E567" s="352"/>
      <c r="F567" s="352"/>
      <c r="G567" s="352"/>
      <c r="H567" s="352"/>
      <c r="I567" s="352"/>
      <c r="J567" s="352"/>
      <c r="K567" s="353"/>
      <c r="L567" s="354"/>
      <c r="M567" s="354"/>
      <c r="N567" s="355"/>
    </row>
    <row r="568" spans="1:14" ht="21.75" customHeight="1" x14ac:dyDescent="0.55000000000000004">
      <c r="A568" s="349"/>
      <c r="B568" s="349"/>
      <c r="C568" s="349"/>
      <c r="D568" s="349"/>
      <c r="E568" s="352"/>
      <c r="F568" s="352"/>
      <c r="G568" s="352"/>
      <c r="H568" s="352"/>
      <c r="I568" s="352"/>
      <c r="J568" s="352"/>
      <c r="K568" s="353"/>
      <c r="L568" s="354"/>
      <c r="M568" s="354"/>
      <c r="N568" s="355"/>
    </row>
    <row r="569" spans="1:14" ht="21.75" customHeight="1" x14ac:dyDescent="0.55000000000000004">
      <c r="A569" s="349"/>
      <c r="B569" s="349"/>
      <c r="C569" s="349"/>
      <c r="D569" s="349"/>
      <c r="E569" s="352"/>
      <c r="F569" s="352"/>
      <c r="G569" s="352"/>
      <c r="H569" s="352"/>
      <c r="I569" s="352"/>
      <c r="J569" s="352"/>
      <c r="K569" s="353"/>
      <c r="L569" s="354"/>
      <c r="M569" s="354"/>
      <c r="N569" s="355"/>
    </row>
    <row r="570" spans="1:14" ht="21.75" customHeight="1" x14ac:dyDescent="0.55000000000000004">
      <c r="A570" s="349"/>
      <c r="B570" s="349"/>
      <c r="C570" s="349"/>
      <c r="D570" s="349"/>
      <c r="E570" s="352"/>
      <c r="F570" s="352"/>
      <c r="G570" s="352"/>
      <c r="H570" s="352"/>
      <c r="I570" s="352"/>
      <c r="J570" s="352"/>
      <c r="K570" s="353"/>
      <c r="L570" s="354"/>
      <c r="M570" s="354"/>
      <c r="N570" s="355"/>
    </row>
    <row r="571" spans="1:14" ht="21.75" customHeight="1" x14ac:dyDescent="0.55000000000000004">
      <c r="A571" s="349"/>
      <c r="B571" s="349"/>
      <c r="C571" s="349"/>
      <c r="D571" s="349"/>
      <c r="E571" s="352"/>
      <c r="F571" s="352"/>
      <c r="G571" s="352"/>
      <c r="H571" s="352"/>
      <c r="I571" s="352"/>
      <c r="J571" s="352"/>
      <c r="K571" s="353"/>
      <c r="L571" s="354"/>
      <c r="M571" s="354"/>
      <c r="N571" s="355"/>
    </row>
    <row r="572" spans="1:14" ht="21.75" customHeight="1" x14ac:dyDescent="0.55000000000000004">
      <c r="A572" s="349"/>
      <c r="B572" s="349"/>
      <c r="C572" s="349"/>
      <c r="D572" s="349"/>
      <c r="E572" s="352"/>
      <c r="F572" s="352"/>
      <c r="G572" s="352"/>
      <c r="H572" s="352"/>
      <c r="I572" s="352"/>
      <c r="J572" s="352"/>
      <c r="K572" s="353"/>
      <c r="L572" s="354"/>
      <c r="M572" s="354"/>
      <c r="N572" s="355"/>
    </row>
    <row r="573" spans="1:14" ht="21.75" customHeight="1" x14ac:dyDescent="0.55000000000000004">
      <c r="A573" s="349"/>
      <c r="B573" s="349"/>
      <c r="C573" s="349"/>
      <c r="D573" s="349"/>
      <c r="E573" s="352"/>
      <c r="F573" s="352"/>
      <c r="G573" s="352"/>
      <c r="H573" s="352"/>
      <c r="I573" s="352"/>
      <c r="J573" s="352"/>
      <c r="K573" s="353"/>
      <c r="L573" s="354"/>
      <c r="M573" s="354"/>
      <c r="N573" s="355"/>
    </row>
    <row r="574" spans="1:14" ht="21.75" customHeight="1" x14ac:dyDescent="0.55000000000000004">
      <c r="A574" s="349"/>
      <c r="B574" s="349"/>
      <c r="C574" s="349"/>
      <c r="D574" s="349"/>
      <c r="E574" s="352"/>
      <c r="F574" s="352"/>
      <c r="G574" s="352"/>
      <c r="H574" s="352"/>
      <c r="I574" s="352"/>
      <c r="J574" s="352"/>
      <c r="K574" s="353"/>
      <c r="L574" s="354"/>
      <c r="M574" s="354"/>
      <c r="N574" s="355"/>
    </row>
    <row r="575" spans="1:14" ht="21.75" customHeight="1" x14ac:dyDescent="0.55000000000000004">
      <c r="A575" s="349"/>
      <c r="B575" s="349"/>
      <c r="C575" s="349"/>
      <c r="D575" s="349"/>
      <c r="E575" s="352"/>
      <c r="F575" s="352"/>
      <c r="G575" s="352"/>
      <c r="H575" s="352"/>
      <c r="I575" s="352"/>
      <c r="J575" s="352"/>
      <c r="K575" s="353"/>
      <c r="L575" s="354"/>
      <c r="M575" s="354"/>
      <c r="N575" s="355"/>
    </row>
    <row r="576" spans="1:14" ht="21.75" customHeight="1" x14ac:dyDescent="0.55000000000000004">
      <c r="A576" s="349"/>
      <c r="B576" s="349"/>
      <c r="C576" s="349"/>
      <c r="D576" s="349"/>
      <c r="E576" s="352"/>
      <c r="F576" s="352"/>
      <c r="G576" s="352"/>
      <c r="H576" s="352"/>
      <c r="I576" s="352"/>
      <c r="J576" s="352"/>
      <c r="K576" s="353"/>
      <c r="L576" s="354"/>
      <c r="M576" s="354"/>
      <c r="N576" s="355"/>
    </row>
    <row r="577" spans="1:14" ht="21.75" customHeight="1" x14ac:dyDescent="0.55000000000000004">
      <c r="A577" s="349"/>
      <c r="B577" s="349"/>
      <c r="C577" s="349"/>
      <c r="D577" s="349"/>
      <c r="E577" s="352"/>
      <c r="F577" s="352"/>
      <c r="G577" s="352"/>
      <c r="H577" s="352"/>
      <c r="I577" s="352"/>
      <c r="J577" s="352"/>
      <c r="K577" s="353"/>
      <c r="L577" s="354"/>
      <c r="M577" s="354"/>
      <c r="N577" s="355"/>
    </row>
    <row r="578" spans="1:14" ht="21.75" customHeight="1" x14ac:dyDescent="0.55000000000000004">
      <c r="A578" s="349"/>
      <c r="B578" s="349"/>
      <c r="C578" s="349"/>
      <c r="D578" s="349"/>
      <c r="E578" s="352"/>
      <c r="F578" s="352"/>
      <c r="G578" s="352"/>
      <c r="H578" s="352"/>
      <c r="I578" s="352"/>
      <c r="J578" s="352"/>
      <c r="K578" s="353"/>
      <c r="L578" s="354"/>
      <c r="M578" s="354"/>
      <c r="N578" s="355"/>
    </row>
    <row r="579" spans="1:14" ht="21.75" customHeight="1" x14ac:dyDescent="0.55000000000000004">
      <c r="A579" s="349"/>
      <c r="B579" s="349"/>
      <c r="C579" s="349"/>
      <c r="D579" s="349"/>
      <c r="E579" s="352"/>
      <c r="F579" s="352"/>
      <c r="G579" s="352"/>
      <c r="H579" s="352"/>
      <c r="I579" s="352"/>
      <c r="J579" s="352"/>
      <c r="K579" s="353"/>
      <c r="L579" s="354"/>
      <c r="M579" s="354"/>
      <c r="N579" s="355"/>
    </row>
    <row r="580" spans="1:14" ht="21.75" customHeight="1" x14ac:dyDescent="0.55000000000000004">
      <c r="A580" s="349"/>
      <c r="B580" s="349"/>
      <c r="C580" s="349"/>
      <c r="D580" s="349"/>
      <c r="E580" s="352"/>
      <c r="F580" s="352"/>
      <c r="G580" s="352"/>
      <c r="H580" s="352"/>
      <c r="I580" s="352"/>
      <c r="J580" s="352"/>
      <c r="K580" s="353"/>
      <c r="L580" s="354"/>
      <c r="M580" s="354"/>
      <c r="N580" s="355"/>
    </row>
    <row r="581" spans="1:14" ht="21.75" customHeight="1" x14ac:dyDescent="0.55000000000000004">
      <c r="A581" s="349"/>
      <c r="B581" s="349"/>
      <c r="C581" s="349"/>
      <c r="D581" s="349"/>
      <c r="E581" s="352"/>
      <c r="F581" s="352"/>
      <c r="G581" s="352"/>
      <c r="H581" s="352"/>
      <c r="I581" s="352"/>
      <c r="J581" s="352"/>
      <c r="K581" s="353"/>
      <c r="L581" s="354"/>
      <c r="M581" s="354"/>
      <c r="N581" s="355"/>
    </row>
    <row r="582" spans="1:14" ht="21.75" customHeight="1" x14ac:dyDescent="0.55000000000000004">
      <c r="A582" s="349"/>
      <c r="B582" s="349"/>
      <c r="C582" s="349"/>
      <c r="D582" s="349"/>
      <c r="E582" s="352"/>
      <c r="F582" s="352"/>
      <c r="G582" s="352"/>
      <c r="H582" s="352"/>
      <c r="I582" s="352"/>
      <c r="J582" s="352"/>
      <c r="K582" s="353"/>
      <c r="L582" s="354"/>
      <c r="M582" s="354"/>
      <c r="N582" s="355"/>
    </row>
    <row r="583" spans="1:14" ht="21.75" customHeight="1" x14ac:dyDescent="0.55000000000000004">
      <c r="A583" s="349"/>
      <c r="B583" s="349"/>
      <c r="C583" s="349"/>
      <c r="D583" s="349"/>
      <c r="E583" s="352"/>
      <c r="F583" s="352"/>
      <c r="G583" s="352"/>
      <c r="H583" s="352"/>
      <c r="I583" s="352"/>
      <c r="J583" s="352"/>
      <c r="K583" s="353"/>
      <c r="L583" s="354"/>
      <c r="M583" s="354"/>
      <c r="N583" s="355"/>
    </row>
    <row r="584" spans="1:14" ht="21.75" customHeight="1" x14ac:dyDescent="0.55000000000000004">
      <c r="A584" s="349"/>
      <c r="B584" s="349"/>
      <c r="C584" s="349"/>
      <c r="D584" s="349"/>
      <c r="E584" s="352"/>
      <c r="F584" s="352"/>
      <c r="G584" s="352"/>
      <c r="H584" s="352"/>
      <c r="I584" s="352"/>
      <c r="J584" s="352"/>
      <c r="K584" s="353"/>
      <c r="L584" s="354"/>
      <c r="M584" s="354"/>
      <c r="N584" s="355"/>
    </row>
    <row r="585" spans="1:14" ht="21.75" customHeight="1" x14ac:dyDescent="0.55000000000000004">
      <c r="A585" s="349"/>
      <c r="B585" s="349"/>
      <c r="C585" s="349"/>
      <c r="D585" s="349"/>
      <c r="E585" s="352"/>
      <c r="F585" s="352"/>
      <c r="G585" s="352"/>
      <c r="H585" s="352"/>
      <c r="I585" s="352"/>
      <c r="J585" s="352"/>
      <c r="K585" s="353"/>
      <c r="L585" s="354"/>
      <c r="M585" s="354"/>
      <c r="N585" s="355"/>
    </row>
    <row r="586" spans="1:14" ht="21.75" customHeight="1" x14ac:dyDescent="0.55000000000000004">
      <c r="A586" s="349"/>
      <c r="B586" s="349"/>
      <c r="C586" s="349"/>
      <c r="D586" s="349"/>
      <c r="E586" s="352"/>
      <c r="F586" s="352"/>
      <c r="G586" s="352"/>
      <c r="H586" s="352"/>
      <c r="I586" s="352"/>
      <c r="J586" s="352"/>
      <c r="K586" s="353"/>
      <c r="L586" s="354"/>
      <c r="M586" s="354"/>
      <c r="N586" s="355"/>
    </row>
    <row r="587" spans="1:14" ht="21.75" customHeight="1" x14ac:dyDescent="0.55000000000000004">
      <c r="A587" s="349"/>
      <c r="B587" s="349"/>
      <c r="C587" s="349"/>
      <c r="D587" s="349"/>
      <c r="E587" s="352"/>
      <c r="F587" s="352"/>
      <c r="G587" s="352"/>
      <c r="H587" s="352"/>
      <c r="I587" s="352"/>
      <c r="J587" s="352"/>
      <c r="K587" s="353"/>
      <c r="L587" s="354"/>
      <c r="M587" s="354"/>
      <c r="N587" s="355"/>
    </row>
    <row r="588" spans="1:14" ht="21.75" customHeight="1" x14ac:dyDescent="0.55000000000000004">
      <c r="A588" s="349"/>
      <c r="B588" s="349"/>
      <c r="C588" s="349"/>
      <c r="D588" s="349"/>
      <c r="E588" s="352"/>
      <c r="F588" s="352"/>
      <c r="G588" s="352"/>
      <c r="H588" s="352"/>
      <c r="I588" s="352"/>
      <c r="J588" s="352"/>
      <c r="K588" s="353"/>
      <c r="L588" s="354"/>
      <c r="M588" s="354"/>
      <c r="N588" s="355"/>
    </row>
    <row r="589" spans="1:14" ht="21.75" customHeight="1" x14ac:dyDescent="0.55000000000000004">
      <c r="A589" s="349"/>
      <c r="B589" s="349"/>
      <c r="C589" s="349"/>
      <c r="D589" s="349"/>
      <c r="E589" s="352"/>
      <c r="F589" s="352"/>
      <c r="G589" s="352"/>
      <c r="H589" s="352"/>
      <c r="I589" s="352"/>
      <c r="J589" s="352"/>
      <c r="K589" s="353"/>
      <c r="L589" s="354"/>
      <c r="M589" s="354"/>
      <c r="N589" s="355"/>
    </row>
    <row r="590" spans="1:14" ht="21.75" customHeight="1" x14ac:dyDescent="0.55000000000000004">
      <c r="A590" s="349"/>
      <c r="B590" s="349"/>
      <c r="C590" s="349"/>
      <c r="D590" s="349"/>
      <c r="E590" s="352"/>
      <c r="F590" s="352"/>
      <c r="G590" s="352"/>
      <c r="H590" s="352"/>
      <c r="I590" s="352"/>
      <c r="J590" s="352"/>
      <c r="K590" s="353"/>
      <c r="L590" s="354"/>
      <c r="M590" s="354"/>
      <c r="N590" s="355"/>
    </row>
    <row r="591" spans="1:14" ht="21.75" customHeight="1" x14ac:dyDescent="0.55000000000000004">
      <c r="A591" s="349"/>
      <c r="B591" s="349"/>
      <c r="C591" s="349"/>
      <c r="D591" s="349"/>
      <c r="E591" s="352"/>
      <c r="F591" s="352"/>
      <c r="G591" s="352"/>
      <c r="H591" s="352"/>
      <c r="I591" s="352"/>
      <c r="J591" s="352"/>
      <c r="K591" s="353"/>
      <c r="L591" s="354"/>
      <c r="M591" s="354"/>
      <c r="N591" s="355"/>
    </row>
    <row r="592" spans="1:14" ht="21.75" customHeight="1" x14ac:dyDescent="0.55000000000000004">
      <c r="A592" s="349"/>
      <c r="B592" s="349"/>
      <c r="C592" s="349"/>
      <c r="D592" s="349"/>
      <c r="E592" s="352"/>
      <c r="F592" s="352"/>
      <c r="G592" s="352"/>
      <c r="H592" s="352"/>
      <c r="I592" s="352"/>
      <c r="J592" s="352"/>
      <c r="K592" s="353"/>
      <c r="L592" s="354"/>
      <c r="M592" s="354"/>
      <c r="N592" s="355"/>
    </row>
    <row r="593" spans="1:14" ht="21.75" customHeight="1" x14ac:dyDescent="0.55000000000000004">
      <c r="A593" s="349"/>
      <c r="B593" s="349"/>
      <c r="C593" s="349"/>
      <c r="D593" s="349"/>
      <c r="E593" s="352"/>
      <c r="F593" s="352"/>
      <c r="G593" s="352"/>
      <c r="H593" s="352"/>
      <c r="I593" s="352"/>
      <c r="J593" s="352"/>
      <c r="K593" s="353"/>
      <c r="L593" s="354"/>
      <c r="M593" s="354"/>
      <c r="N593" s="355"/>
    </row>
    <row r="594" spans="1:14" ht="21.75" customHeight="1" x14ac:dyDescent="0.55000000000000004">
      <c r="A594" s="349"/>
      <c r="B594" s="349"/>
      <c r="C594" s="349"/>
      <c r="D594" s="349"/>
      <c r="E594" s="352"/>
      <c r="F594" s="352"/>
      <c r="G594" s="352"/>
      <c r="H594" s="352"/>
      <c r="I594" s="352"/>
      <c r="J594" s="352"/>
      <c r="K594" s="353"/>
      <c r="L594" s="354"/>
      <c r="M594" s="354"/>
      <c r="N594" s="355"/>
    </row>
    <row r="595" spans="1:14" ht="21.75" customHeight="1" x14ac:dyDescent="0.55000000000000004">
      <c r="A595" s="349"/>
      <c r="B595" s="349"/>
      <c r="C595" s="349"/>
      <c r="D595" s="349"/>
      <c r="E595" s="352"/>
      <c r="F595" s="352"/>
      <c r="G595" s="352"/>
      <c r="H595" s="352"/>
      <c r="I595" s="352"/>
      <c r="J595" s="352"/>
      <c r="K595" s="353"/>
      <c r="L595" s="354"/>
      <c r="M595" s="354"/>
      <c r="N595" s="355"/>
    </row>
    <row r="596" spans="1:14" ht="21.75" customHeight="1" x14ac:dyDescent="0.55000000000000004">
      <c r="A596" s="349"/>
      <c r="B596" s="349"/>
      <c r="C596" s="349"/>
      <c r="D596" s="349"/>
      <c r="E596" s="352"/>
      <c r="F596" s="352"/>
      <c r="G596" s="352"/>
      <c r="H596" s="352"/>
      <c r="I596" s="352"/>
      <c r="J596" s="352"/>
      <c r="K596" s="353"/>
      <c r="L596" s="354"/>
      <c r="M596" s="354"/>
      <c r="N596" s="355"/>
    </row>
    <row r="597" spans="1:14" ht="21.75" customHeight="1" x14ac:dyDescent="0.55000000000000004">
      <c r="A597" s="349"/>
      <c r="B597" s="349"/>
      <c r="C597" s="349"/>
      <c r="D597" s="349"/>
      <c r="E597" s="352"/>
      <c r="F597" s="352"/>
      <c r="G597" s="352"/>
      <c r="H597" s="352"/>
      <c r="I597" s="352"/>
      <c r="J597" s="352"/>
      <c r="K597" s="353"/>
      <c r="L597" s="354"/>
      <c r="M597" s="354"/>
      <c r="N597" s="355"/>
    </row>
    <row r="598" spans="1:14" ht="21.75" customHeight="1" x14ac:dyDescent="0.55000000000000004">
      <c r="A598" s="349"/>
      <c r="B598" s="349"/>
      <c r="C598" s="349"/>
      <c r="D598" s="349"/>
      <c r="E598" s="352"/>
      <c r="F598" s="352"/>
      <c r="G598" s="352"/>
      <c r="H598" s="352"/>
      <c r="I598" s="352"/>
      <c r="J598" s="352"/>
      <c r="K598" s="353"/>
      <c r="L598" s="354"/>
      <c r="M598" s="354"/>
      <c r="N598" s="355"/>
    </row>
    <row r="599" spans="1:14" ht="21.75" customHeight="1" x14ac:dyDescent="0.55000000000000004">
      <c r="A599" s="349"/>
      <c r="B599" s="349"/>
      <c r="C599" s="349"/>
      <c r="D599" s="349"/>
      <c r="E599" s="352"/>
      <c r="F599" s="352"/>
      <c r="G599" s="352"/>
      <c r="H599" s="352"/>
      <c r="I599" s="352"/>
      <c r="J599" s="352"/>
      <c r="K599" s="353"/>
      <c r="L599" s="354"/>
      <c r="M599" s="354"/>
      <c r="N599" s="355"/>
    </row>
    <row r="600" spans="1:14" ht="21.75" customHeight="1" x14ac:dyDescent="0.55000000000000004">
      <c r="A600" s="349"/>
      <c r="B600" s="349"/>
      <c r="C600" s="349"/>
      <c r="D600" s="349"/>
      <c r="E600" s="352"/>
      <c r="F600" s="352"/>
      <c r="G600" s="352"/>
      <c r="H600" s="352"/>
      <c r="I600" s="352"/>
      <c r="J600" s="352"/>
      <c r="K600" s="353"/>
      <c r="L600" s="354"/>
      <c r="M600" s="354"/>
      <c r="N600" s="355"/>
    </row>
    <row r="601" spans="1:14" ht="21.75" customHeight="1" x14ac:dyDescent="0.55000000000000004">
      <c r="A601" s="349"/>
      <c r="B601" s="349"/>
      <c r="C601" s="349"/>
      <c r="D601" s="349"/>
      <c r="E601" s="352"/>
      <c r="F601" s="352"/>
      <c r="G601" s="352"/>
      <c r="H601" s="352"/>
      <c r="I601" s="352"/>
      <c r="J601" s="352"/>
      <c r="K601" s="353"/>
      <c r="L601" s="354"/>
      <c r="M601" s="354"/>
      <c r="N601" s="355"/>
    </row>
    <row r="602" spans="1:14" ht="21.75" customHeight="1" x14ac:dyDescent="0.55000000000000004">
      <c r="A602" s="349"/>
      <c r="B602" s="349"/>
      <c r="C602" s="349"/>
      <c r="D602" s="349"/>
      <c r="E602" s="352"/>
      <c r="F602" s="352"/>
      <c r="G602" s="352"/>
      <c r="H602" s="352"/>
      <c r="I602" s="352"/>
      <c r="J602" s="352"/>
      <c r="K602" s="353"/>
      <c r="L602" s="354"/>
      <c r="M602" s="354"/>
      <c r="N602" s="355"/>
    </row>
    <row r="603" spans="1:14" ht="21.75" customHeight="1" x14ac:dyDescent="0.55000000000000004">
      <c r="A603" s="349"/>
      <c r="B603" s="349"/>
      <c r="C603" s="349"/>
      <c r="D603" s="349"/>
      <c r="E603" s="352"/>
      <c r="F603" s="352"/>
      <c r="G603" s="352"/>
      <c r="H603" s="352"/>
      <c r="I603" s="352"/>
      <c r="J603" s="352"/>
      <c r="K603" s="353"/>
      <c r="L603" s="354"/>
      <c r="M603" s="354"/>
      <c r="N603" s="355"/>
    </row>
    <row r="604" spans="1:14" ht="21.75" customHeight="1" x14ac:dyDescent="0.55000000000000004">
      <c r="A604" s="349"/>
      <c r="B604" s="349"/>
      <c r="C604" s="349"/>
      <c r="D604" s="349"/>
      <c r="E604" s="352"/>
      <c r="F604" s="352"/>
      <c r="G604" s="352"/>
      <c r="H604" s="352"/>
      <c r="I604" s="352"/>
      <c r="J604" s="352"/>
      <c r="K604" s="353"/>
      <c r="L604" s="354"/>
      <c r="M604" s="354"/>
      <c r="N604" s="355"/>
    </row>
    <row r="605" spans="1:14" ht="21.75" customHeight="1" x14ac:dyDescent="0.55000000000000004">
      <c r="A605" s="349"/>
      <c r="B605" s="349"/>
      <c r="C605" s="349"/>
      <c r="D605" s="349"/>
      <c r="E605" s="352"/>
      <c r="F605" s="352"/>
      <c r="G605" s="352"/>
      <c r="H605" s="352"/>
      <c r="I605" s="352"/>
      <c r="J605" s="352"/>
      <c r="K605" s="353"/>
      <c r="L605" s="354"/>
      <c r="M605" s="354"/>
      <c r="N605" s="355"/>
    </row>
    <row r="606" spans="1:14" ht="21.75" customHeight="1" x14ac:dyDescent="0.55000000000000004">
      <c r="A606" s="349"/>
      <c r="B606" s="349"/>
      <c r="C606" s="349"/>
      <c r="D606" s="349"/>
      <c r="E606" s="352"/>
      <c r="F606" s="352"/>
      <c r="G606" s="352"/>
      <c r="H606" s="352"/>
      <c r="I606" s="352"/>
      <c r="J606" s="352"/>
      <c r="K606" s="353"/>
      <c r="L606" s="354"/>
      <c r="M606" s="354"/>
      <c r="N606" s="355"/>
    </row>
    <row r="607" spans="1:14" ht="21.75" customHeight="1" x14ac:dyDescent="0.55000000000000004">
      <c r="A607" s="349"/>
      <c r="B607" s="349"/>
      <c r="C607" s="349"/>
      <c r="D607" s="349"/>
      <c r="E607" s="352"/>
      <c r="F607" s="352"/>
      <c r="G607" s="352"/>
      <c r="H607" s="352"/>
      <c r="I607" s="352"/>
      <c r="J607" s="352"/>
      <c r="K607" s="353"/>
      <c r="L607" s="354"/>
      <c r="M607" s="354"/>
      <c r="N607" s="355"/>
    </row>
    <row r="608" spans="1:14" ht="21.75" customHeight="1" x14ac:dyDescent="0.55000000000000004">
      <c r="A608" s="349"/>
      <c r="B608" s="349"/>
      <c r="C608" s="349"/>
      <c r="D608" s="349"/>
      <c r="E608" s="352"/>
      <c r="F608" s="352"/>
      <c r="G608" s="352"/>
      <c r="H608" s="352"/>
      <c r="I608" s="352"/>
      <c r="J608" s="352"/>
      <c r="K608" s="353"/>
      <c r="L608" s="354"/>
      <c r="M608" s="354"/>
      <c r="N608" s="355"/>
    </row>
    <row r="609" spans="1:14" ht="21.75" customHeight="1" x14ac:dyDescent="0.55000000000000004">
      <c r="A609" s="349"/>
      <c r="B609" s="349"/>
      <c r="C609" s="349"/>
      <c r="D609" s="349"/>
      <c r="E609" s="352"/>
      <c r="F609" s="352"/>
      <c r="G609" s="352"/>
      <c r="H609" s="352"/>
      <c r="I609" s="352"/>
      <c r="J609" s="352"/>
      <c r="K609" s="353"/>
      <c r="L609" s="354"/>
      <c r="M609" s="354"/>
      <c r="N609" s="355"/>
    </row>
    <row r="610" spans="1:14" ht="21.75" customHeight="1" x14ac:dyDescent="0.55000000000000004">
      <c r="A610" s="349"/>
      <c r="B610" s="349"/>
      <c r="C610" s="349"/>
      <c r="D610" s="349"/>
      <c r="E610" s="352"/>
      <c r="F610" s="352"/>
      <c r="G610" s="352"/>
      <c r="H610" s="352"/>
      <c r="I610" s="352"/>
      <c r="J610" s="352"/>
      <c r="K610" s="353"/>
      <c r="L610" s="354"/>
      <c r="M610" s="354"/>
      <c r="N610" s="355"/>
    </row>
    <row r="611" spans="1:14" ht="21.75" customHeight="1" x14ac:dyDescent="0.55000000000000004">
      <c r="A611" s="349"/>
      <c r="B611" s="349"/>
      <c r="C611" s="349"/>
      <c r="D611" s="349"/>
      <c r="E611" s="352"/>
      <c r="F611" s="352"/>
      <c r="G611" s="352"/>
      <c r="H611" s="352"/>
      <c r="I611" s="352"/>
      <c r="J611" s="352"/>
      <c r="K611" s="353"/>
      <c r="L611" s="354"/>
      <c r="M611" s="354"/>
      <c r="N611" s="355"/>
    </row>
    <row r="612" spans="1:14" ht="21.75" customHeight="1" x14ac:dyDescent="0.55000000000000004">
      <c r="A612" s="349"/>
      <c r="B612" s="349"/>
      <c r="C612" s="349"/>
      <c r="D612" s="349"/>
      <c r="E612" s="352"/>
      <c r="F612" s="352"/>
      <c r="G612" s="352"/>
      <c r="H612" s="352"/>
      <c r="I612" s="352"/>
      <c r="J612" s="352"/>
      <c r="K612" s="353"/>
      <c r="L612" s="354"/>
      <c r="M612" s="354"/>
      <c r="N612" s="355"/>
    </row>
    <row r="613" spans="1:14" ht="21.75" customHeight="1" x14ac:dyDescent="0.55000000000000004">
      <c r="A613" s="349"/>
      <c r="B613" s="349"/>
      <c r="C613" s="349"/>
      <c r="D613" s="349"/>
      <c r="E613" s="352"/>
      <c r="F613" s="352"/>
      <c r="G613" s="352"/>
      <c r="H613" s="352"/>
      <c r="I613" s="352"/>
      <c r="J613" s="352"/>
      <c r="K613" s="353"/>
      <c r="L613" s="354"/>
      <c r="M613" s="354"/>
      <c r="N613" s="355"/>
    </row>
    <row r="614" spans="1:14" ht="21.75" customHeight="1" x14ac:dyDescent="0.55000000000000004">
      <c r="A614" s="349"/>
      <c r="B614" s="349"/>
      <c r="C614" s="349"/>
      <c r="D614" s="349"/>
      <c r="E614" s="352"/>
      <c r="F614" s="352"/>
      <c r="G614" s="352"/>
      <c r="H614" s="352"/>
      <c r="I614" s="352"/>
      <c r="J614" s="352"/>
      <c r="K614" s="353"/>
      <c r="L614" s="354"/>
      <c r="M614" s="354"/>
      <c r="N614" s="355"/>
    </row>
    <row r="615" spans="1:14" ht="21.75" customHeight="1" x14ac:dyDescent="0.55000000000000004">
      <c r="A615" s="349"/>
      <c r="B615" s="349"/>
      <c r="C615" s="349"/>
      <c r="D615" s="349"/>
      <c r="E615" s="352"/>
      <c r="F615" s="352"/>
      <c r="G615" s="352"/>
      <c r="H615" s="352"/>
      <c r="I615" s="352"/>
      <c r="J615" s="352"/>
      <c r="K615" s="353"/>
      <c r="L615" s="354"/>
      <c r="M615" s="354"/>
      <c r="N615" s="355"/>
    </row>
    <row r="616" spans="1:14" ht="21.75" customHeight="1" x14ac:dyDescent="0.55000000000000004">
      <c r="A616" s="349"/>
      <c r="B616" s="349"/>
      <c r="C616" s="349"/>
      <c r="D616" s="349"/>
      <c r="E616" s="352"/>
      <c r="F616" s="352"/>
      <c r="G616" s="352"/>
      <c r="H616" s="352"/>
      <c r="I616" s="352"/>
      <c r="J616" s="352"/>
      <c r="K616" s="353"/>
      <c r="L616" s="354"/>
      <c r="M616" s="354"/>
      <c r="N616" s="355"/>
    </row>
    <row r="617" spans="1:14" ht="21.75" customHeight="1" x14ac:dyDescent="0.55000000000000004">
      <c r="A617" s="349"/>
      <c r="B617" s="349"/>
      <c r="C617" s="349"/>
      <c r="D617" s="349"/>
      <c r="E617" s="352"/>
      <c r="F617" s="352"/>
      <c r="G617" s="352"/>
      <c r="H617" s="352"/>
      <c r="I617" s="352"/>
      <c r="J617" s="352"/>
      <c r="K617" s="353"/>
      <c r="L617" s="354"/>
      <c r="M617" s="354"/>
      <c r="N617" s="355"/>
    </row>
    <row r="618" spans="1:14" ht="21.75" customHeight="1" x14ac:dyDescent="0.55000000000000004">
      <c r="A618" s="349"/>
      <c r="B618" s="349"/>
      <c r="C618" s="349"/>
      <c r="D618" s="349"/>
      <c r="E618" s="352"/>
      <c r="F618" s="352"/>
      <c r="G618" s="352"/>
      <c r="H618" s="352"/>
      <c r="I618" s="352"/>
      <c r="J618" s="352"/>
      <c r="K618" s="353"/>
      <c r="L618" s="354"/>
      <c r="M618" s="354"/>
      <c r="N618" s="355"/>
    </row>
    <row r="619" spans="1:14" ht="21.75" customHeight="1" x14ac:dyDescent="0.55000000000000004">
      <c r="A619" s="349"/>
      <c r="B619" s="349"/>
      <c r="C619" s="349"/>
      <c r="D619" s="349"/>
      <c r="E619" s="352"/>
      <c r="F619" s="352"/>
      <c r="G619" s="352"/>
      <c r="H619" s="352"/>
      <c r="I619" s="352"/>
      <c r="J619" s="352"/>
      <c r="K619" s="353"/>
      <c r="L619" s="354"/>
      <c r="M619" s="354"/>
      <c r="N619" s="355"/>
    </row>
    <row r="620" spans="1:14" ht="21.75" customHeight="1" x14ac:dyDescent="0.55000000000000004">
      <c r="A620" s="349"/>
      <c r="B620" s="349"/>
      <c r="C620" s="349"/>
      <c r="D620" s="349"/>
      <c r="E620" s="352"/>
      <c r="F620" s="352"/>
      <c r="G620" s="352"/>
      <c r="H620" s="352"/>
      <c r="I620" s="352"/>
      <c r="J620" s="352"/>
      <c r="K620" s="353"/>
      <c r="L620" s="354"/>
      <c r="M620" s="354"/>
      <c r="N620" s="355"/>
    </row>
    <row r="621" spans="1:14" ht="21.75" customHeight="1" x14ac:dyDescent="0.55000000000000004">
      <c r="A621" s="349"/>
      <c r="B621" s="349"/>
      <c r="C621" s="349"/>
      <c r="D621" s="349"/>
      <c r="E621" s="352"/>
      <c r="F621" s="352"/>
      <c r="G621" s="352"/>
      <c r="H621" s="352"/>
      <c r="I621" s="352"/>
      <c r="J621" s="352"/>
      <c r="K621" s="353"/>
      <c r="L621" s="354"/>
      <c r="M621" s="354"/>
      <c r="N621" s="355"/>
    </row>
    <row r="622" spans="1:14" ht="21.75" customHeight="1" x14ac:dyDescent="0.55000000000000004">
      <c r="A622" s="349"/>
      <c r="B622" s="349"/>
      <c r="C622" s="349"/>
      <c r="D622" s="349"/>
      <c r="E622" s="352"/>
      <c r="F622" s="352"/>
      <c r="G622" s="352"/>
      <c r="H622" s="352"/>
      <c r="I622" s="352"/>
      <c r="J622" s="352"/>
      <c r="K622" s="353"/>
      <c r="L622" s="354"/>
      <c r="M622" s="354"/>
      <c r="N622" s="355"/>
    </row>
    <row r="623" spans="1:14" ht="21.75" customHeight="1" x14ac:dyDescent="0.55000000000000004">
      <c r="A623" s="349"/>
      <c r="B623" s="349"/>
      <c r="C623" s="349"/>
      <c r="D623" s="349"/>
      <c r="E623" s="352"/>
      <c r="F623" s="352"/>
      <c r="G623" s="352"/>
      <c r="H623" s="352"/>
      <c r="I623" s="352"/>
      <c r="J623" s="352"/>
      <c r="K623" s="353"/>
      <c r="L623" s="354"/>
      <c r="M623" s="354"/>
      <c r="N623" s="355"/>
    </row>
    <row r="624" spans="1:14" ht="21.75" customHeight="1" x14ac:dyDescent="0.55000000000000004">
      <c r="A624" s="349"/>
      <c r="B624" s="349"/>
      <c r="C624" s="349"/>
      <c r="D624" s="349"/>
      <c r="E624" s="352"/>
      <c r="F624" s="352"/>
      <c r="G624" s="352"/>
      <c r="H624" s="352"/>
      <c r="I624" s="352"/>
      <c r="J624" s="352"/>
      <c r="K624" s="353"/>
      <c r="L624" s="354"/>
      <c r="M624" s="354"/>
      <c r="N624" s="355"/>
    </row>
    <row r="625" spans="1:14" ht="21.75" customHeight="1" x14ac:dyDescent="0.55000000000000004">
      <c r="A625" s="349"/>
      <c r="B625" s="349"/>
      <c r="C625" s="349"/>
      <c r="D625" s="349"/>
      <c r="E625" s="352"/>
      <c r="F625" s="352"/>
      <c r="G625" s="352"/>
      <c r="H625" s="352"/>
      <c r="I625" s="352"/>
      <c r="J625" s="352"/>
      <c r="K625" s="353"/>
      <c r="L625" s="354"/>
      <c r="M625" s="354"/>
      <c r="N625" s="355"/>
    </row>
    <row r="626" spans="1:14" ht="21.75" customHeight="1" x14ac:dyDescent="0.55000000000000004">
      <c r="A626" s="349"/>
      <c r="B626" s="349"/>
      <c r="C626" s="349"/>
      <c r="D626" s="349"/>
      <c r="E626" s="352"/>
      <c r="F626" s="352"/>
      <c r="G626" s="352"/>
      <c r="H626" s="352"/>
      <c r="I626" s="352"/>
      <c r="J626" s="352"/>
      <c r="K626" s="353"/>
      <c r="L626" s="354"/>
      <c r="M626" s="354"/>
      <c r="N626" s="355"/>
    </row>
    <row r="627" spans="1:14" ht="21.75" customHeight="1" x14ac:dyDescent="0.55000000000000004">
      <c r="A627" s="349"/>
      <c r="B627" s="349"/>
      <c r="C627" s="349"/>
      <c r="D627" s="349"/>
      <c r="E627" s="352"/>
      <c r="F627" s="352"/>
      <c r="G627" s="352"/>
      <c r="H627" s="352"/>
      <c r="I627" s="352"/>
      <c r="J627" s="352"/>
      <c r="K627" s="353"/>
      <c r="L627" s="354"/>
      <c r="M627" s="354"/>
      <c r="N627" s="355"/>
    </row>
    <row r="628" spans="1:14" ht="21.75" customHeight="1" x14ac:dyDescent="0.55000000000000004">
      <c r="A628" s="349"/>
      <c r="B628" s="349"/>
      <c r="C628" s="349"/>
      <c r="D628" s="349"/>
      <c r="E628" s="352"/>
      <c r="F628" s="352"/>
      <c r="G628" s="352"/>
      <c r="H628" s="352"/>
      <c r="I628" s="352"/>
      <c r="J628" s="352"/>
      <c r="K628" s="353"/>
      <c r="L628" s="354"/>
      <c r="M628" s="354"/>
      <c r="N628" s="355"/>
    </row>
    <row r="629" spans="1:14" ht="21.75" customHeight="1" x14ac:dyDescent="0.55000000000000004">
      <c r="A629" s="349"/>
      <c r="B629" s="349"/>
      <c r="C629" s="349"/>
      <c r="D629" s="349"/>
      <c r="E629" s="352"/>
      <c r="F629" s="352"/>
      <c r="G629" s="352"/>
      <c r="H629" s="352"/>
      <c r="I629" s="352"/>
      <c r="J629" s="352"/>
      <c r="K629" s="353"/>
      <c r="L629" s="354"/>
      <c r="M629" s="354"/>
      <c r="N629" s="355"/>
    </row>
    <row r="630" spans="1:14" ht="21.75" customHeight="1" x14ac:dyDescent="0.55000000000000004">
      <c r="A630" s="349"/>
      <c r="B630" s="349"/>
      <c r="C630" s="349"/>
      <c r="D630" s="349"/>
      <c r="E630" s="352"/>
      <c r="F630" s="352"/>
      <c r="G630" s="352"/>
      <c r="H630" s="352"/>
      <c r="I630" s="352"/>
      <c r="J630" s="352"/>
      <c r="K630" s="353"/>
      <c r="L630" s="354"/>
      <c r="M630" s="354"/>
      <c r="N630" s="355"/>
    </row>
    <row r="631" spans="1:14" ht="21.75" customHeight="1" x14ac:dyDescent="0.55000000000000004">
      <c r="A631" s="349"/>
      <c r="B631" s="349"/>
      <c r="C631" s="349"/>
      <c r="D631" s="349"/>
      <c r="E631" s="352"/>
      <c r="F631" s="352"/>
      <c r="G631" s="352"/>
      <c r="H631" s="352"/>
      <c r="I631" s="352"/>
      <c r="J631" s="352"/>
      <c r="K631" s="353"/>
      <c r="L631" s="354"/>
      <c r="M631" s="354"/>
      <c r="N631" s="355"/>
    </row>
    <row r="632" spans="1:14" ht="21.75" customHeight="1" x14ac:dyDescent="0.55000000000000004">
      <c r="A632" s="349"/>
      <c r="B632" s="349"/>
      <c r="C632" s="349"/>
      <c r="D632" s="349"/>
      <c r="E632" s="352"/>
      <c r="F632" s="352"/>
      <c r="G632" s="352"/>
      <c r="H632" s="352"/>
      <c r="I632" s="352"/>
      <c r="J632" s="352"/>
      <c r="K632" s="353"/>
      <c r="L632" s="354"/>
      <c r="M632" s="354"/>
      <c r="N632" s="355"/>
    </row>
    <row r="633" spans="1:14" ht="21.75" customHeight="1" x14ac:dyDescent="0.55000000000000004">
      <c r="A633" s="349"/>
      <c r="B633" s="349"/>
      <c r="C633" s="349"/>
      <c r="D633" s="349"/>
      <c r="E633" s="352"/>
      <c r="F633" s="352"/>
      <c r="G633" s="352"/>
      <c r="H633" s="352"/>
      <c r="I633" s="352"/>
      <c r="J633" s="352"/>
      <c r="K633" s="353"/>
      <c r="L633" s="354"/>
      <c r="M633" s="354"/>
      <c r="N633" s="355"/>
    </row>
    <row r="634" spans="1:14" ht="21.75" customHeight="1" x14ac:dyDescent="0.55000000000000004">
      <c r="A634" s="349"/>
      <c r="B634" s="349"/>
      <c r="C634" s="349"/>
      <c r="D634" s="349"/>
      <c r="E634" s="352"/>
      <c r="F634" s="352"/>
      <c r="G634" s="352"/>
      <c r="H634" s="352"/>
      <c r="I634" s="352"/>
      <c r="J634" s="352"/>
      <c r="K634" s="353"/>
      <c r="L634" s="354"/>
      <c r="M634" s="354"/>
      <c r="N634" s="355"/>
    </row>
    <row r="635" spans="1:14" ht="21.75" customHeight="1" x14ac:dyDescent="0.55000000000000004">
      <c r="A635" s="349"/>
      <c r="B635" s="349"/>
      <c r="C635" s="349"/>
      <c r="D635" s="349"/>
      <c r="E635" s="352"/>
      <c r="F635" s="352"/>
      <c r="G635" s="352"/>
      <c r="H635" s="352"/>
      <c r="I635" s="352"/>
      <c r="J635" s="352"/>
      <c r="K635" s="353"/>
      <c r="L635" s="354"/>
      <c r="M635" s="354"/>
      <c r="N635" s="355"/>
    </row>
    <row r="636" spans="1:14" ht="21.75" customHeight="1" x14ac:dyDescent="0.55000000000000004">
      <c r="A636" s="349"/>
      <c r="B636" s="349"/>
      <c r="C636" s="349"/>
      <c r="D636" s="349"/>
      <c r="E636" s="352"/>
      <c r="F636" s="352"/>
      <c r="G636" s="352"/>
      <c r="H636" s="352"/>
      <c r="I636" s="352"/>
      <c r="J636" s="352"/>
      <c r="K636" s="353"/>
      <c r="L636" s="354"/>
      <c r="M636" s="354"/>
      <c r="N636" s="355"/>
    </row>
    <row r="637" spans="1:14" ht="21.75" customHeight="1" x14ac:dyDescent="0.55000000000000004">
      <c r="A637" s="349"/>
      <c r="B637" s="349"/>
      <c r="C637" s="349"/>
      <c r="D637" s="349"/>
      <c r="E637" s="352"/>
      <c r="F637" s="352"/>
      <c r="G637" s="352"/>
      <c r="H637" s="352"/>
      <c r="I637" s="352"/>
      <c r="J637" s="352"/>
      <c r="K637" s="353"/>
      <c r="L637" s="354"/>
      <c r="M637" s="354"/>
      <c r="N637" s="355"/>
    </row>
    <row r="638" spans="1:14" ht="21.75" customHeight="1" x14ac:dyDescent="0.55000000000000004">
      <c r="A638" s="349"/>
      <c r="B638" s="349"/>
      <c r="C638" s="349"/>
      <c r="D638" s="349"/>
      <c r="E638" s="352"/>
      <c r="F638" s="352"/>
      <c r="G638" s="352"/>
      <c r="H638" s="352"/>
      <c r="I638" s="352"/>
      <c r="J638" s="352"/>
      <c r="K638" s="353"/>
      <c r="L638" s="354"/>
      <c r="M638" s="354"/>
      <c r="N638" s="355"/>
    </row>
    <row r="639" spans="1:14" ht="21.75" customHeight="1" x14ac:dyDescent="0.55000000000000004">
      <c r="A639" s="349"/>
      <c r="B639" s="349"/>
      <c r="C639" s="349"/>
      <c r="D639" s="349"/>
      <c r="E639" s="352"/>
      <c r="F639" s="352"/>
      <c r="G639" s="352"/>
      <c r="H639" s="352"/>
      <c r="I639" s="352"/>
      <c r="J639" s="352"/>
      <c r="K639" s="353"/>
      <c r="L639" s="354"/>
      <c r="M639" s="354"/>
      <c r="N639" s="355"/>
    </row>
    <row r="640" spans="1:14" ht="21.75" customHeight="1" x14ac:dyDescent="0.55000000000000004">
      <c r="A640" s="349"/>
      <c r="B640" s="349"/>
      <c r="C640" s="349"/>
      <c r="D640" s="349"/>
      <c r="E640" s="352"/>
      <c r="F640" s="352"/>
      <c r="G640" s="352"/>
      <c r="H640" s="352"/>
      <c r="I640" s="352"/>
      <c r="J640" s="352"/>
      <c r="K640" s="353"/>
      <c r="L640" s="354"/>
      <c r="M640" s="354"/>
      <c r="N640" s="355"/>
    </row>
    <row r="641" spans="1:14" ht="21.75" customHeight="1" x14ac:dyDescent="0.55000000000000004">
      <c r="A641" s="349"/>
      <c r="B641" s="349"/>
      <c r="C641" s="349"/>
      <c r="D641" s="349"/>
      <c r="E641" s="352"/>
      <c r="F641" s="352"/>
      <c r="G641" s="352"/>
      <c r="H641" s="352"/>
      <c r="I641" s="352"/>
      <c r="J641" s="352"/>
      <c r="K641" s="353"/>
      <c r="L641" s="354"/>
      <c r="M641" s="354"/>
      <c r="N641" s="355"/>
    </row>
    <row r="642" spans="1:14" ht="21.75" customHeight="1" x14ac:dyDescent="0.55000000000000004">
      <c r="A642" s="349"/>
      <c r="B642" s="349"/>
      <c r="C642" s="349"/>
      <c r="D642" s="349"/>
      <c r="E642" s="352"/>
      <c r="F642" s="352"/>
      <c r="G642" s="352"/>
      <c r="H642" s="352"/>
      <c r="I642" s="352"/>
      <c r="J642" s="352"/>
      <c r="K642" s="353"/>
      <c r="L642" s="354"/>
      <c r="M642" s="354"/>
      <c r="N642" s="355"/>
    </row>
    <row r="643" spans="1:14" ht="21.75" customHeight="1" x14ac:dyDescent="0.55000000000000004">
      <c r="A643" s="349"/>
      <c r="B643" s="349"/>
      <c r="C643" s="349"/>
      <c r="D643" s="349"/>
      <c r="E643" s="352"/>
      <c r="F643" s="352"/>
      <c r="G643" s="352"/>
      <c r="H643" s="352"/>
      <c r="I643" s="352"/>
      <c r="J643" s="352"/>
      <c r="K643" s="353"/>
      <c r="L643" s="354"/>
      <c r="M643" s="354"/>
      <c r="N643" s="355"/>
    </row>
    <row r="644" spans="1:14" ht="21.75" customHeight="1" x14ac:dyDescent="0.55000000000000004">
      <c r="A644" s="349"/>
      <c r="B644" s="349"/>
      <c r="C644" s="349"/>
      <c r="D644" s="349"/>
      <c r="E644" s="352"/>
      <c r="F644" s="352"/>
      <c r="G644" s="352"/>
      <c r="H644" s="352"/>
      <c r="I644" s="352"/>
      <c r="J644" s="352"/>
      <c r="K644" s="353"/>
      <c r="L644" s="354"/>
      <c r="M644" s="354"/>
      <c r="N644" s="355"/>
    </row>
    <row r="645" spans="1:14" ht="21.75" customHeight="1" x14ac:dyDescent="0.55000000000000004">
      <c r="A645" s="349"/>
      <c r="B645" s="349"/>
      <c r="C645" s="349"/>
      <c r="D645" s="349"/>
      <c r="E645" s="352"/>
      <c r="F645" s="352"/>
      <c r="G645" s="352"/>
      <c r="H645" s="352"/>
      <c r="I645" s="352"/>
      <c r="J645" s="352"/>
      <c r="K645" s="353"/>
      <c r="L645" s="354"/>
      <c r="M645" s="354"/>
      <c r="N645" s="355"/>
    </row>
    <row r="646" spans="1:14" ht="21.75" customHeight="1" x14ac:dyDescent="0.55000000000000004">
      <c r="A646" s="349"/>
      <c r="B646" s="349"/>
      <c r="C646" s="349"/>
      <c r="D646" s="349"/>
      <c r="E646" s="352"/>
      <c r="F646" s="352"/>
      <c r="G646" s="352"/>
      <c r="H646" s="352"/>
      <c r="I646" s="352"/>
      <c r="J646" s="352"/>
      <c r="K646" s="353"/>
      <c r="L646" s="354"/>
      <c r="M646" s="354"/>
      <c r="N646" s="355"/>
    </row>
    <row r="647" spans="1:14" ht="21.75" customHeight="1" x14ac:dyDescent="0.55000000000000004">
      <c r="A647" s="349"/>
      <c r="B647" s="349"/>
      <c r="C647" s="349"/>
      <c r="D647" s="349"/>
      <c r="E647" s="352"/>
      <c r="F647" s="352"/>
      <c r="G647" s="352"/>
      <c r="H647" s="352"/>
      <c r="I647" s="352"/>
      <c r="J647" s="352"/>
      <c r="K647" s="353"/>
      <c r="L647" s="354"/>
      <c r="M647" s="354"/>
      <c r="N647" s="355"/>
    </row>
    <row r="648" spans="1:14" ht="21.75" customHeight="1" x14ac:dyDescent="0.55000000000000004">
      <c r="A648" s="349"/>
      <c r="B648" s="349"/>
      <c r="C648" s="349"/>
      <c r="D648" s="349"/>
      <c r="E648" s="352"/>
      <c r="F648" s="352"/>
      <c r="G648" s="352"/>
      <c r="H648" s="352"/>
      <c r="I648" s="352"/>
      <c r="J648" s="352"/>
      <c r="K648" s="353"/>
      <c r="L648" s="354"/>
      <c r="M648" s="354"/>
      <c r="N648" s="355"/>
    </row>
    <row r="649" spans="1:14" ht="21.75" customHeight="1" x14ac:dyDescent="0.55000000000000004">
      <c r="A649" s="349"/>
      <c r="B649" s="349"/>
      <c r="C649" s="349"/>
      <c r="D649" s="349"/>
      <c r="E649" s="352"/>
      <c r="F649" s="352"/>
      <c r="G649" s="352"/>
      <c r="H649" s="352"/>
      <c r="I649" s="352"/>
      <c r="J649" s="352"/>
      <c r="K649" s="353"/>
      <c r="L649" s="354"/>
      <c r="M649" s="354"/>
      <c r="N649" s="355"/>
    </row>
    <row r="650" spans="1:14" ht="21.75" customHeight="1" x14ac:dyDescent="0.55000000000000004">
      <c r="A650" s="349"/>
      <c r="B650" s="349"/>
      <c r="C650" s="349"/>
      <c r="D650" s="349"/>
      <c r="E650" s="352"/>
      <c r="F650" s="352"/>
      <c r="G650" s="352"/>
      <c r="H650" s="352"/>
      <c r="I650" s="352"/>
      <c r="J650" s="352"/>
      <c r="K650" s="353"/>
      <c r="L650" s="354"/>
      <c r="M650" s="354"/>
      <c r="N650" s="355"/>
    </row>
    <row r="651" spans="1:14" ht="21.75" customHeight="1" x14ac:dyDescent="0.55000000000000004">
      <c r="A651" s="349"/>
      <c r="B651" s="349"/>
      <c r="C651" s="349"/>
      <c r="D651" s="349"/>
      <c r="E651" s="352"/>
      <c r="F651" s="352"/>
      <c r="G651" s="352"/>
      <c r="H651" s="352"/>
      <c r="I651" s="352"/>
      <c r="J651" s="352"/>
      <c r="K651" s="353"/>
      <c r="L651" s="354"/>
      <c r="M651" s="354"/>
      <c r="N651" s="355"/>
    </row>
    <row r="652" spans="1:14" ht="21.75" customHeight="1" x14ac:dyDescent="0.55000000000000004">
      <c r="A652" s="349"/>
      <c r="B652" s="349"/>
      <c r="C652" s="349"/>
      <c r="D652" s="349"/>
      <c r="E652" s="352"/>
      <c r="F652" s="352"/>
      <c r="G652" s="352"/>
      <c r="H652" s="352"/>
      <c r="I652" s="352"/>
      <c r="J652" s="352"/>
      <c r="K652" s="353"/>
      <c r="L652" s="354"/>
      <c r="M652" s="354"/>
      <c r="N652" s="355"/>
    </row>
    <row r="653" spans="1:14" ht="21.75" customHeight="1" x14ac:dyDescent="0.55000000000000004">
      <c r="A653" s="349"/>
      <c r="B653" s="349"/>
      <c r="C653" s="349"/>
      <c r="D653" s="349"/>
      <c r="E653" s="352"/>
      <c r="F653" s="352"/>
      <c r="G653" s="352"/>
      <c r="H653" s="352"/>
      <c r="I653" s="352"/>
      <c r="J653" s="352"/>
      <c r="K653" s="353"/>
      <c r="L653" s="354"/>
      <c r="M653" s="354"/>
      <c r="N653" s="355"/>
    </row>
    <row r="654" spans="1:14" ht="21.75" customHeight="1" x14ac:dyDescent="0.55000000000000004">
      <c r="A654" s="349"/>
      <c r="B654" s="349"/>
      <c r="C654" s="349"/>
      <c r="D654" s="349"/>
      <c r="E654" s="352"/>
      <c r="F654" s="352"/>
      <c r="G654" s="352"/>
      <c r="H654" s="352"/>
      <c r="I654" s="352"/>
      <c r="J654" s="352"/>
      <c r="K654" s="353"/>
      <c r="L654" s="354"/>
      <c r="M654" s="354"/>
      <c r="N654" s="355"/>
    </row>
    <row r="655" spans="1:14" ht="21.75" customHeight="1" x14ac:dyDescent="0.55000000000000004">
      <c r="A655" s="349"/>
      <c r="B655" s="349"/>
      <c r="C655" s="349"/>
      <c r="D655" s="349"/>
      <c r="E655" s="352"/>
      <c r="F655" s="352"/>
      <c r="G655" s="352"/>
      <c r="H655" s="352"/>
      <c r="I655" s="352"/>
      <c r="J655" s="352"/>
      <c r="K655" s="353"/>
      <c r="L655" s="354"/>
      <c r="M655" s="354"/>
      <c r="N655" s="355"/>
    </row>
    <row r="656" spans="1:14" ht="21.75" customHeight="1" x14ac:dyDescent="0.55000000000000004">
      <c r="A656" s="349"/>
      <c r="B656" s="349"/>
      <c r="C656" s="349"/>
      <c r="D656" s="349"/>
      <c r="E656" s="352"/>
      <c r="F656" s="352"/>
      <c r="G656" s="352"/>
      <c r="H656" s="352"/>
      <c r="I656" s="352"/>
      <c r="J656" s="352"/>
      <c r="K656" s="353"/>
      <c r="L656" s="354"/>
      <c r="M656" s="354"/>
      <c r="N656" s="355"/>
    </row>
    <row r="657" spans="1:14" ht="21.75" customHeight="1" x14ac:dyDescent="0.55000000000000004">
      <c r="A657" s="349"/>
      <c r="B657" s="349"/>
      <c r="C657" s="349"/>
      <c r="D657" s="349"/>
      <c r="E657" s="352"/>
      <c r="F657" s="352"/>
      <c r="G657" s="352"/>
      <c r="H657" s="352"/>
      <c r="I657" s="352"/>
      <c r="J657" s="352"/>
      <c r="K657" s="353"/>
      <c r="L657" s="354"/>
      <c r="M657" s="354"/>
      <c r="N657" s="355"/>
    </row>
    <row r="658" spans="1:14" ht="21.75" customHeight="1" x14ac:dyDescent="0.55000000000000004">
      <c r="A658" s="349"/>
      <c r="B658" s="349"/>
      <c r="C658" s="349"/>
      <c r="D658" s="349"/>
      <c r="E658" s="352"/>
      <c r="F658" s="352"/>
      <c r="G658" s="352"/>
      <c r="H658" s="352"/>
      <c r="I658" s="352"/>
      <c r="J658" s="352"/>
      <c r="K658" s="353"/>
      <c r="L658" s="354"/>
      <c r="M658" s="354"/>
      <c r="N658" s="355"/>
    </row>
    <row r="659" spans="1:14" ht="21.75" customHeight="1" x14ac:dyDescent="0.55000000000000004">
      <c r="A659" s="349"/>
      <c r="B659" s="349"/>
      <c r="C659" s="349"/>
      <c r="D659" s="349"/>
      <c r="E659" s="352"/>
      <c r="F659" s="352"/>
      <c r="G659" s="352"/>
      <c r="H659" s="352"/>
      <c r="I659" s="352"/>
      <c r="J659" s="352"/>
      <c r="K659" s="353"/>
      <c r="L659" s="354"/>
      <c r="M659" s="354"/>
      <c r="N659" s="355"/>
    </row>
    <row r="660" spans="1:14" ht="21.75" customHeight="1" x14ac:dyDescent="0.55000000000000004">
      <c r="A660" s="349"/>
      <c r="B660" s="349"/>
      <c r="C660" s="349"/>
      <c r="D660" s="349"/>
      <c r="E660" s="352"/>
      <c r="F660" s="352"/>
      <c r="G660" s="352"/>
      <c r="H660" s="352"/>
      <c r="I660" s="352"/>
      <c r="J660" s="352"/>
      <c r="K660" s="353"/>
      <c r="L660" s="354"/>
      <c r="M660" s="354"/>
      <c r="N660" s="355"/>
    </row>
    <row r="661" spans="1:14" ht="21.75" customHeight="1" x14ac:dyDescent="0.55000000000000004">
      <c r="A661" s="349"/>
      <c r="B661" s="349"/>
      <c r="C661" s="349"/>
      <c r="D661" s="349"/>
      <c r="E661" s="352"/>
      <c r="F661" s="352"/>
      <c r="G661" s="352"/>
      <c r="H661" s="352"/>
      <c r="I661" s="352"/>
      <c r="J661" s="352"/>
      <c r="K661" s="353"/>
      <c r="L661" s="354"/>
      <c r="M661" s="354"/>
      <c r="N661" s="355"/>
    </row>
    <row r="662" spans="1:14" ht="21.75" customHeight="1" x14ac:dyDescent="0.55000000000000004">
      <c r="A662" s="349"/>
      <c r="B662" s="349"/>
      <c r="C662" s="349"/>
      <c r="D662" s="349"/>
      <c r="E662" s="352"/>
      <c r="F662" s="352"/>
      <c r="G662" s="352"/>
      <c r="H662" s="352"/>
      <c r="I662" s="352"/>
      <c r="J662" s="352"/>
      <c r="K662" s="353"/>
      <c r="L662" s="354"/>
      <c r="M662" s="354"/>
      <c r="N662" s="355"/>
    </row>
    <row r="663" spans="1:14" ht="21.75" customHeight="1" x14ac:dyDescent="0.55000000000000004">
      <c r="A663" s="349"/>
      <c r="B663" s="349"/>
      <c r="C663" s="349"/>
      <c r="D663" s="349"/>
      <c r="E663" s="352"/>
      <c r="F663" s="352"/>
      <c r="G663" s="352"/>
      <c r="H663" s="352"/>
      <c r="I663" s="352"/>
      <c r="J663" s="352"/>
      <c r="K663" s="353"/>
      <c r="L663" s="354"/>
      <c r="M663" s="354"/>
      <c r="N663" s="355"/>
    </row>
    <row r="664" spans="1:14" ht="21.75" customHeight="1" x14ac:dyDescent="0.55000000000000004">
      <c r="A664" s="349"/>
      <c r="B664" s="349"/>
      <c r="C664" s="349"/>
      <c r="D664" s="349"/>
      <c r="E664" s="352"/>
      <c r="F664" s="352"/>
      <c r="G664" s="352"/>
      <c r="H664" s="352"/>
      <c r="I664" s="352"/>
      <c r="J664" s="352"/>
      <c r="K664" s="353"/>
      <c r="L664" s="354"/>
      <c r="M664" s="354"/>
      <c r="N664" s="355"/>
    </row>
    <row r="665" spans="1:14" ht="21.75" customHeight="1" x14ac:dyDescent="0.55000000000000004">
      <c r="A665" s="349"/>
      <c r="B665" s="349"/>
      <c r="C665" s="349"/>
      <c r="D665" s="349"/>
      <c r="E665" s="352"/>
      <c r="F665" s="352"/>
      <c r="G665" s="352"/>
      <c r="H665" s="352"/>
      <c r="I665" s="352"/>
      <c r="J665" s="352"/>
      <c r="K665" s="353"/>
      <c r="L665" s="354"/>
      <c r="M665" s="354"/>
      <c r="N665" s="355"/>
    </row>
    <row r="666" spans="1:14" ht="21.75" customHeight="1" x14ac:dyDescent="0.55000000000000004">
      <c r="A666" s="349"/>
      <c r="B666" s="349"/>
      <c r="C666" s="349"/>
      <c r="D666" s="349"/>
      <c r="E666" s="352"/>
      <c r="F666" s="352"/>
      <c r="G666" s="352"/>
      <c r="H666" s="352"/>
      <c r="I666" s="352"/>
      <c r="J666" s="352"/>
      <c r="K666" s="353"/>
      <c r="L666" s="354"/>
      <c r="M666" s="354"/>
      <c r="N666" s="355"/>
    </row>
    <row r="667" spans="1:14" ht="21.75" customHeight="1" x14ac:dyDescent="0.55000000000000004">
      <c r="A667" s="349"/>
      <c r="B667" s="349"/>
      <c r="C667" s="349"/>
      <c r="D667" s="349"/>
      <c r="E667" s="352"/>
      <c r="F667" s="352"/>
      <c r="G667" s="352"/>
      <c r="H667" s="352"/>
      <c r="I667" s="352"/>
      <c r="J667" s="352"/>
      <c r="K667" s="353"/>
      <c r="L667" s="354"/>
      <c r="M667" s="354"/>
      <c r="N667" s="355"/>
    </row>
    <row r="668" spans="1:14" ht="21.75" customHeight="1" x14ac:dyDescent="0.55000000000000004">
      <c r="A668" s="349"/>
      <c r="B668" s="349"/>
      <c r="C668" s="349"/>
      <c r="D668" s="349"/>
      <c r="E668" s="352"/>
      <c r="F668" s="352"/>
      <c r="G668" s="352"/>
      <c r="H668" s="352"/>
      <c r="I668" s="352"/>
      <c r="J668" s="352"/>
      <c r="K668" s="353"/>
      <c r="L668" s="354"/>
      <c r="M668" s="354"/>
      <c r="N668" s="355"/>
    </row>
    <row r="669" spans="1:14" ht="21.75" customHeight="1" x14ac:dyDescent="0.55000000000000004">
      <c r="A669" s="349"/>
      <c r="B669" s="349"/>
      <c r="C669" s="349"/>
      <c r="D669" s="349"/>
      <c r="E669" s="352"/>
      <c r="F669" s="352"/>
      <c r="G669" s="352"/>
      <c r="H669" s="352"/>
      <c r="I669" s="352"/>
      <c r="J669" s="352"/>
      <c r="K669" s="353"/>
      <c r="L669" s="354"/>
      <c r="M669" s="354"/>
      <c r="N669" s="355"/>
    </row>
    <row r="670" spans="1:14" ht="21.75" customHeight="1" x14ac:dyDescent="0.55000000000000004">
      <c r="A670" s="349"/>
      <c r="B670" s="349"/>
      <c r="C670" s="349"/>
      <c r="D670" s="349"/>
      <c r="E670" s="352"/>
      <c r="F670" s="352"/>
      <c r="G670" s="352"/>
      <c r="H670" s="352"/>
      <c r="I670" s="352"/>
      <c r="J670" s="352"/>
      <c r="K670" s="353"/>
      <c r="L670" s="354"/>
      <c r="M670" s="354"/>
      <c r="N670" s="355"/>
    </row>
    <row r="671" spans="1:14" ht="21.75" customHeight="1" x14ac:dyDescent="0.55000000000000004">
      <c r="A671" s="349"/>
      <c r="B671" s="349"/>
      <c r="C671" s="349"/>
      <c r="D671" s="349"/>
      <c r="E671" s="352"/>
      <c r="F671" s="352"/>
      <c r="G671" s="352"/>
      <c r="H671" s="352"/>
      <c r="I671" s="352"/>
      <c r="J671" s="352"/>
      <c r="K671" s="353"/>
      <c r="L671" s="354"/>
      <c r="M671" s="354"/>
      <c r="N671" s="355"/>
    </row>
    <row r="672" spans="1:14" ht="21.75" customHeight="1" x14ac:dyDescent="0.55000000000000004">
      <c r="A672" s="349"/>
      <c r="B672" s="349"/>
      <c r="C672" s="349"/>
      <c r="D672" s="349"/>
      <c r="E672" s="352"/>
      <c r="F672" s="352"/>
      <c r="G672" s="352"/>
      <c r="H672" s="352"/>
      <c r="I672" s="352"/>
      <c r="J672" s="352"/>
      <c r="K672" s="353"/>
      <c r="L672" s="354"/>
      <c r="M672" s="354"/>
      <c r="N672" s="355"/>
    </row>
    <row r="673" spans="1:14" ht="21.75" customHeight="1" x14ac:dyDescent="0.55000000000000004">
      <c r="A673" s="349"/>
      <c r="B673" s="349"/>
      <c r="C673" s="349"/>
      <c r="D673" s="349"/>
      <c r="E673" s="352"/>
      <c r="F673" s="352"/>
      <c r="G673" s="352"/>
      <c r="H673" s="352"/>
      <c r="I673" s="352"/>
      <c r="J673" s="352"/>
      <c r="K673" s="353"/>
      <c r="L673" s="354"/>
      <c r="M673" s="354"/>
      <c r="N673" s="355"/>
    </row>
    <row r="674" spans="1:14" ht="21.75" customHeight="1" x14ac:dyDescent="0.55000000000000004">
      <c r="A674" s="349"/>
      <c r="B674" s="349"/>
      <c r="C674" s="349"/>
      <c r="D674" s="349"/>
      <c r="E674" s="352"/>
      <c r="F674" s="352"/>
      <c r="G674" s="352"/>
      <c r="H674" s="352"/>
      <c r="I674" s="352"/>
      <c r="J674" s="352"/>
      <c r="K674" s="353"/>
      <c r="L674" s="354"/>
      <c r="M674" s="354"/>
      <c r="N674" s="355"/>
    </row>
    <row r="675" spans="1:14" ht="21.75" customHeight="1" x14ac:dyDescent="0.55000000000000004">
      <c r="A675" s="349"/>
      <c r="B675" s="349"/>
      <c r="C675" s="349"/>
      <c r="D675" s="349"/>
      <c r="E675" s="352"/>
      <c r="F675" s="352"/>
      <c r="G675" s="352"/>
      <c r="H675" s="352"/>
      <c r="I675" s="352"/>
      <c r="J675" s="352"/>
      <c r="K675" s="353"/>
      <c r="L675" s="354"/>
      <c r="M675" s="354"/>
      <c r="N675" s="355"/>
    </row>
    <row r="676" spans="1:14" ht="21.75" customHeight="1" x14ac:dyDescent="0.55000000000000004">
      <c r="A676" s="349"/>
      <c r="B676" s="349"/>
      <c r="C676" s="349"/>
      <c r="D676" s="349"/>
      <c r="E676" s="352"/>
      <c r="F676" s="352"/>
      <c r="G676" s="352"/>
      <c r="H676" s="352"/>
      <c r="I676" s="352"/>
      <c r="J676" s="352"/>
      <c r="K676" s="353"/>
      <c r="L676" s="354"/>
      <c r="M676" s="354"/>
      <c r="N676" s="355"/>
    </row>
    <row r="677" spans="1:14" ht="21.75" customHeight="1" x14ac:dyDescent="0.55000000000000004">
      <c r="A677" s="349"/>
      <c r="B677" s="349"/>
      <c r="C677" s="349"/>
      <c r="D677" s="349"/>
      <c r="E677" s="352"/>
      <c r="F677" s="352"/>
      <c r="G677" s="352"/>
      <c r="H677" s="352"/>
      <c r="I677" s="352"/>
      <c r="J677" s="352"/>
      <c r="K677" s="353"/>
      <c r="L677" s="354"/>
      <c r="M677" s="354"/>
      <c r="N677" s="355"/>
    </row>
    <row r="678" spans="1:14" ht="21.75" customHeight="1" x14ac:dyDescent="0.55000000000000004">
      <c r="A678" s="349"/>
      <c r="B678" s="349"/>
      <c r="C678" s="349"/>
      <c r="D678" s="349"/>
      <c r="E678" s="352"/>
      <c r="F678" s="352"/>
      <c r="G678" s="352"/>
      <c r="H678" s="352"/>
      <c r="I678" s="352"/>
      <c r="J678" s="352"/>
      <c r="K678" s="353"/>
      <c r="L678" s="354"/>
      <c r="M678" s="354"/>
      <c r="N678" s="355"/>
    </row>
    <row r="679" spans="1:14" ht="21.75" customHeight="1" x14ac:dyDescent="0.55000000000000004">
      <c r="A679" s="349"/>
      <c r="B679" s="349"/>
      <c r="C679" s="349"/>
      <c r="D679" s="349"/>
      <c r="E679" s="352"/>
      <c r="F679" s="352"/>
      <c r="G679" s="352"/>
      <c r="H679" s="352"/>
      <c r="I679" s="352"/>
      <c r="J679" s="352"/>
      <c r="K679" s="353"/>
      <c r="L679" s="354"/>
      <c r="M679" s="354"/>
      <c r="N679" s="355"/>
    </row>
    <row r="680" spans="1:14" ht="21.75" customHeight="1" x14ac:dyDescent="0.55000000000000004">
      <c r="A680" s="349"/>
      <c r="B680" s="349"/>
      <c r="C680" s="349"/>
      <c r="D680" s="349"/>
      <c r="E680" s="352"/>
      <c r="F680" s="352"/>
      <c r="G680" s="352"/>
      <c r="H680" s="352"/>
      <c r="I680" s="352"/>
      <c r="J680" s="352"/>
      <c r="K680" s="353"/>
      <c r="L680" s="354"/>
      <c r="M680" s="354"/>
      <c r="N680" s="355"/>
    </row>
    <row r="681" spans="1:14" ht="21.75" customHeight="1" x14ac:dyDescent="0.55000000000000004">
      <c r="A681" s="349"/>
      <c r="B681" s="349"/>
      <c r="C681" s="349"/>
      <c r="D681" s="349"/>
      <c r="E681" s="352"/>
      <c r="F681" s="352"/>
      <c r="G681" s="352"/>
      <c r="H681" s="352"/>
      <c r="I681" s="352"/>
      <c r="J681" s="352"/>
      <c r="K681" s="353"/>
      <c r="L681" s="354"/>
      <c r="M681" s="354"/>
      <c r="N681" s="355"/>
    </row>
    <row r="682" spans="1:14" ht="21.75" customHeight="1" x14ac:dyDescent="0.55000000000000004">
      <c r="A682" s="349"/>
      <c r="B682" s="349"/>
      <c r="C682" s="349"/>
      <c r="D682" s="349"/>
      <c r="E682" s="352"/>
      <c r="F682" s="352"/>
      <c r="G682" s="352"/>
      <c r="H682" s="352"/>
      <c r="I682" s="352"/>
      <c r="J682" s="352"/>
      <c r="K682" s="353"/>
      <c r="L682" s="354"/>
      <c r="M682" s="354"/>
      <c r="N682" s="355"/>
    </row>
    <row r="683" spans="1:14" ht="21.75" customHeight="1" x14ac:dyDescent="0.55000000000000004">
      <c r="A683" s="349"/>
      <c r="B683" s="349"/>
      <c r="C683" s="349"/>
      <c r="D683" s="349"/>
      <c r="E683" s="352"/>
      <c r="F683" s="352"/>
      <c r="G683" s="352"/>
      <c r="H683" s="352"/>
      <c r="I683" s="352"/>
      <c r="J683" s="352"/>
      <c r="K683" s="353"/>
      <c r="L683" s="354"/>
      <c r="M683" s="354"/>
      <c r="N683" s="355"/>
    </row>
    <row r="684" spans="1:14" ht="21.75" customHeight="1" x14ac:dyDescent="0.55000000000000004">
      <c r="A684" s="349"/>
      <c r="B684" s="349"/>
      <c r="C684" s="349"/>
      <c r="D684" s="349"/>
      <c r="E684" s="352"/>
      <c r="F684" s="352"/>
      <c r="G684" s="352"/>
      <c r="H684" s="352"/>
      <c r="I684" s="352"/>
      <c r="J684" s="352"/>
      <c r="K684" s="353"/>
      <c r="L684" s="354"/>
      <c r="M684" s="354"/>
      <c r="N684" s="355"/>
    </row>
    <row r="685" spans="1:14" ht="21.75" customHeight="1" x14ac:dyDescent="0.55000000000000004">
      <c r="A685" s="349"/>
      <c r="B685" s="349"/>
      <c r="C685" s="349"/>
      <c r="D685" s="349"/>
      <c r="E685" s="352"/>
      <c r="F685" s="352"/>
      <c r="G685" s="352"/>
      <c r="H685" s="352"/>
      <c r="I685" s="352"/>
      <c r="J685" s="352"/>
      <c r="K685" s="353"/>
      <c r="L685" s="354"/>
      <c r="M685" s="354"/>
      <c r="N685" s="355"/>
    </row>
    <row r="686" spans="1:14" ht="21.75" customHeight="1" x14ac:dyDescent="0.55000000000000004">
      <c r="A686" s="349"/>
      <c r="B686" s="349"/>
      <c r="C686" s="349"/>
      <c r="D686" s="349"/>
      <c r="E686" s="352"/>
      <c r="F686" s="352"/>
      <c r="G686" s="352"/>
      <c r="H686" s="352"/>
      <c r="I686" s="352"/>
      <c r="J686" s="352"/>
      <c r="K686" s="353"/>
      <c r="L686" s="354"/>
      <c r="M686" s="354"/>
      <c r="N686" s="355"/>
    </row>
    <row r="687" spans="1:14" ht="21.75" customHeight="1" x14ac:dyDescent="0.55000000000000004">
      <c r="A687" s="349"/>
      <c r="B687" s="349"/>
      <c r="C687" s="349"/>
      <c r="D687" s="349"/>
      <c r="E687" s="352"/>
      <c r="F687" s="352"/>
      <c r="G687" s="352"/>
      <c r="H687" s="352"/>
      <c r="I687" s="352"/>
      <c r="J687" s="352"/>
      <c r="K687" s="353"/>
      <c r="L687" s="354"/>
      <c r="M687" s="354"/>
      <c r="N687" s="355"/>
    </row>
    <row r="688" spans="1:14" ht="21.75" customHeight="1" x14ac:dyDescent="0.55000000000000004">
      <c r="A688" s="349"/>
      <c r="B688" s="349"/>
      <c r="C688" s="349"/>
      <c r="D688" s="349"/>
      <c r="E688" s="352"/>
      <c r="F688" s="352"/>
      <c r="G688" s="352"/>
      <c r="H688" s="352"/>
      <c r="I688" s="352"/>
      <c r="J688" s="352"/>
      <c r="K688" s="353"/>
      <c r="L688" s="354"/>
      <c r="M688" s="354"/>
      <c r="N688" s="355"/>
    </row>
    <row r="689" spans="1:14" ht="21.75" customHeight="1" x14ac:dyDescent="0.55000000000000004">
      <c r="A689" s="349"/>
      <c r="B689" s="349"/>
      <c r="C689" s="349"/>
      <c r="D689" s="349"/>
      <c r="E689" s="352"/>
      <c r="F689" s="352"/>
      <c r="G689" s="352"/>
      <c r="H689" s="352"/>
      <c r="I689" s="352"/>
      <c r="J689" s="352"/>
      <c r="K689" s="353"/>
      <c r="L689" s="354"/>
      <c r="M689" s="354"/>
      <c r="N689" s="355"/>
    </row>
    <row r="690" spans="1:14" ht="21.75" customHeight="1" x14ac:dyDescent="0.55000000000000004">
      <c r="A690" s="349"/>
      <c r="B690" s="349"/>
      <c r="C690" s="349"/>
      <c r="D690" s="349"/>
      <c r="E690" s="352"/>
      <c r="F690" s="352"/>
      <c r="G690" s="352"/>
      <c r="H690" s="352"/>
      <c r="I690" s="352"/>
      <c r="J690" s="352"/>
      <c r="K690" s="353"/>
      <c r="L690" s="354"/>
      <c r="M690" s="354"/>
      <c r="N690" s="355"/>
    </row>
    <row r="691" spans="1:14" ht="21.75" customHeight="1" x14ac:dyDescent="0.55000000000000004">
      <c r="A691" s="349"/>
      <c r="B691" s="349"/>
      <c r="C691" s="349"/>
      <c r="D691" s="349"/>
      <c r="E691" s="352"/>
      <c r="F691" s="352"/>
      <c r="G691" s="352"/>
      <c r="H691" s="352"/>
      <c r="I691" s="352"/>
      <c r="J691" s="352"/>
      <c r="K691" s="353"/>
      <c r="L691" s="354"/>
      <c r="M691" s="354"/>
      <c r="N691" s="355"/>
    </row>
    <row r="692" spans="1:14" ht="21.75" customHeight="1" x14ac:dyDescent="0.55000000000000004">
      <c r="A692" s="349"/>
      <c r="B692" s="349"/>
      <c r="C692" s="349"/>
      <c r="D692" s="349"/>
      <c r="E692" s="352"/>
      <c r="F692" s="352"/>
      <c r="G692" s="352"/>
      <c r="H692" s="352"/>
      <c r="I692" s="352"/>
      <c r="J692" s="352"/>
      <c r="K692" s="353"/>
      <c r="L692" s="354"/>
      <c r="M692" s="354"/>
      <c r="N692" s="355"/>
    </row>
    <row r="693" spans="1:14" ht="21.75" customHeight="1" x14ac:dyDescent="0.55000000000000004">
      <c r="A693" s="349"/>
      <c r="B693" s="349"/>
      <c r="C693" s="349"/>
      <c r="D693" s="349"/>
      <c r="E693" s="352"/>
      <c r="F693" s="352"/>
      <c r="G693" s="352"/>
      <c r="H693" s="352"/>
      <c r="I693" s="352"/>
      <c r="J693" s="352"/>
      <c r="K693" s="353"/>
      <c r="L693" s="354"/>
      <c r="M693" s="354"/>
      <c r="N693" s="355"/>
    </row>
    <row r="694" spans="1:14" ht="21.75" customHeight="1" x14ac:dyDescent="0.55000000000000004">
      <c r="A694" s="349"/>
      <c r="B694" s="349"/>
      <c r="C694" s="349"/>
      <c r="D694" s="349"/>
      <c r="E694" s="352"/>
      <c r="F694" s="352"/>
      <c r="G694" s="352"/>
      <c r="H694" s="352"/>
      <c r="I694" s="352"/>
      <c r="J694" s="352"/>
      <c r="K694" s="353"/>
      <c r="L694" s="354"/>
      <c r="M694" s="354"/>
      <c r="N694" s="355"/>
    </row>
    <row r="695" spans="1:14" ht="21.75" customHeight="1" x14ac:dyDescent="0.55000000000000004">
      <c r="A695" s="349"/>
      <c r="B695" s="349"/>
      <c r="C695" s="349"/>
      <c r="D695" s="349"/>
      <c r="E695" s="352"/>
      <c r="F695" s="352"/>
      <c r="G695" s="352"/>
      <c r="H695" s="352"/>
      <c r="I695" s="352"/>
      <c r="J695" s="352"/>
      <c r="K695" s="353"/>
      <c r="L695" s="354"/>
      <c r="M695" s="354"/>
      <c r="N695" s="355"/>
    </row>
    <row r="696" spans="1:14" ht="21.75" customHeight="1" x14ac:dyDescent="0.55000000000000004">
      <c r="A696" s="349"/>
      <c r="B696" s="349"/>
      <c r="C696" s="349"/>
      <c r="D696" s="349"/>
      <c r="E696" s="352"/>
      <c r="F696" s="352"/>
      <c r="G696" s="352"/>
      <c r="H696" s="352"/>
      <c r="I696" s="352"/>
      <c r="J696" s="352"/>
      <c r="K696" s="353"/>
      <c r="L696" s="354"/>
      <c r="M696" s="354"/>
      <c r="N696" s="355"/>
    </row>
    <row r="697" spans="1:14" ht="21.75" customHeight="1" x14ac:dyDescent="0.55000000000000004">
      <c r="A697" s="349"/>
      <c r="B697" s="349"/>
      <c r="C697" s="349"/>
      <c r="D697" s="349"/>
      <c r="E697" s="352"/>
      <c r="F697" s="352"/>
      <c r="G697" s="352"/>
      <c r="H697" s="352"/>
      <c r="I697" s="352"/>
      <c r="J697" s="352"/>
      <c r="K697" s="353"/>
      <c r="L697" s="354"/>
      <c r="M697" s="354"/>
      <c r="N697" s="355"/>
    </row>
    <row r="698" spans="1:14" ht="21.75" customHeight="1" x14ac:dyDescent="0.55000000000000004">
      <c r="A698" s="349"/>
      <c r="B698" s="349"/>
      <c r="C698" s="349"/>
      <c r="D698" s="349"/>
      <c r="E698" s="352"/>
      <c r="F698" s="352"/>
      <c r="G698" s="352"/>
      <c r="H698" s="352"/>
      <c r="I698" s="352"/>
      <c r="J698" s="352"/>
      <c r="K698" s="353"/>
      <c r="L698" s="354"/>
      <c r="M698" s="354"/>
      <c r="N698" s="355"/>
    </row>
    <row r="699" spans="1:14" ht="21.75" customHeight="1" x14ac:dyDescent="0.55000000000000004">
      <c r="A699" s="349"/>
      <c r="B699" s="349"/>
      <c r="C699" s="349"/>
      <c r="D699" s="349"/>
      <c r="E699" s="352"/>
      <c r="F699" s="352"/>
      <c r="G699" s="352"/>
      <c r="H699" s="352"/>
      <c r="I699" s="352"/>
      <c r="J699" s="352"/>
      <c r="K699" s="353"/>
      <c r="L699" s="354"/>
      <c r="M699" s="354"/>
      <c r="N699" s="355"/>
    </row>
    <row r="700" spans="1:14" ht="21.75" customHeight="1" x14ac:dyDescent="0.55000000000000004">
      <c r="A700" s="349"/>
      <c r="B700" s="349"/>
      <c r="C700" s="349"/>
      <c r="D700" s="349"/>
      <c r="E700" s="352"/>
      <c r="F700" s="352"/>
      <c r="G700" s="352"/>
      <c r="H700" s="352"/>
      <c r="I700" s="352"/>
      <c r="J700" s="352"/>
      <c r="K700" s="353"/>
      <c r="L700" s="354"/>
      <c r="M700" s="354"/>
      <c r="N700" s="355"/>
    </row>
    <row r="701" spans="1:14" ht="21.75" customHeight="1" x14ac:dyDescent="0.55000000000000004">
      <c r="A701" s="349"/>
      <c r="B701" s="349"/>
      <c r="C701" s="349"/>
      <c r="D701" s="349"/>
      <c r="E701" s="352"/>
      <c r="F701" s="352"/>
      <c r="G701" s="352"/>
      <c r="H701" s="352"/>
      <c r="I701" s="352"/>
      <c r="J701" s="352"/>
      <c r="K701" s="353"/>
      <c r="L701" s="354"/>
      <c r="M701" s="354"/>
      <c r="N701" s="355"/>
    </row>
    <row r="702" spans="1:14" ht="21.75" customHeight="1" x14ac:dyDescent="0.55000000000000004">
      <c r="A702" s="349"/>
      <c r="B702" s="349"/>
      <c r="C702" s="349"/>
      <c r="D702" s="349"/>
      <c r="E702" s="352"/>
      <c r="F702" s="352"/>
      <c r="G702" s="352"/>
      <c r="H702" s="352"/>
      <c r="I702" s="352"/>
      <c r="J702" s="352"/>
      <c r="K702" s="353"/>
      <c r="L702" s="354"/>
      <c r="M702" s="354"/>
      <c r="N702" s="355"/>
    </row>
    <row r="703" spans="1:14" ht="21.75" customHeight="1" x14ac:dyDescent="0.55000000000000004">
      <c r="A703" s="349"/>
      <c r="B703" s="349"/>
      <c r="C703" s="349"/>
      <c r="D703" s="349"/>
      <c r="E703" s="352"/>
      <c r="F703" s="352"/>
      <c r="G703" s="352"/>
      <c r="H703" s="352"/>
      <c r="I703" s="352"/>
      <c r="J703" s="352"/>
      <c r="K703" s="353"/>
      <c r="L703" s="354"/>
      <c r="M703" s="354"/>
      <c r="N703" s="355"/>
    </row>
    <row r="704" spans="1:14" ht="21.75" customHeight="1" x14ac:dyDescent="0.55000000000000004">
      <c r="A704" s="349"/>
      <c r="B704" s="349"/>
      <c r="C704" s="349"/>
      <c r="D704" s="349"/>
      <c r="E704" s="352"/>
      <c r="F704" s="352"/>
      <c r="G704" s="352"/>
      <c r="H704" s="352"/>
      <c r="I704" s="352"/>
      <c r="J704" s="352"/>
      <c r="K704" s="353"/>
      <c r="L704" s="354"/>
      <c r="M704" s="354"/>
      <c r="N704" s="355"/>
    </row>
    <row r="705" spans="1:14" ht="21.75" customHeight="1" x14ac:dyDescent="0.55000000000000004">
      <c r="A705" s="349"/>
      <c r="B705" s="349"/>
      <c r="C705" s="349"/>
      <c r="D705" s="349"/>
      <c r="E705" s="352"/>
      <c r="F705" s="352"/>
      <c r="G705" s="352"/>
      <c r="H705" s="352"/>
      <c r="I705" s="352"/>
      <c r="J705" s="352"/>
      <c r="K705" s="353"/>
      <c r="L705" s="354"/>
      <c r="M705" s="354"/>
      <c r="N705" s="355"/>
    </row>
    <row r="706" spans="1:14" ht="21.75" customHeight="1" x14ac:dyDescent="0.55000000000000004">
      <c r="A706" s="349"/>
      <c r="B706" s="349"/>
      <c r="C706" s="349"/>
      <c r="D706" s="349"/>
      <c r="E706" s="352"/>
      <c r="F706" s="352"/>
      <c r="G706" s="352"/>
      <c r="H706" s="352"/>
      <c r="I706" s="352"/>
      <c r="J706" s="352"/>
      <c r="K706" s="353"/>
      <c r="L706" s="354"/>
      <c r="M706" s="354"/>
      <c r="N706" s="355"/>
    </row>
    <row r="707" spans="1:14" ht="21.75" customHeight="1" x14ac:dyDescent="0.55000000000000004">
      <c r="A707" s="349"/>
      <c r="B707" s="349"/>
      <c r="C707" s="349"/>
      <c r="D707" s="349"/>
      <c r="E707" s="352"/>
      <c r="F707" s="352"/>
      <c r="G707" s="352"/>
      <c r="H707" s="352"/>
      <c r="I707" s="352"/>
      <c r="J707" s="352"/>
      <c r="K707" s="353"/>
      <c r="L707" s="354"/>
      <c r="M707" s="354"/>
      <c r="N707" s="355"/>
    </row>
    <row r="708" spans="1:14" ht="21.75" customHeight="1" x14ac:dyDescent="0.55000000000000004">
      <c r="A708" s="349"/>
      <c r="B708" s="349"/>
      <c r="C708" s="349"/>
      <c r="D708" s="349"/>
      <c r="E708" s="352"/>
      <c r="F708" s="352"/>
      <c r="G708" s="352"/>
      <c r="H708" s="352"/>
      <c r="I708" s="352"/>
      <c r="J708" s="352"/>
      <c r="K708" s="353"/>
      <c r="L708" s="354"/>
      <c r="M708" s="354"/>
      <c r="N708" s="355"/>
    </row>
    <row r="709" spans="1:14" ht="21.75" customHeight="1" x14ac:dyDescent="0.55000000000000004">
      <c r="A709" s="349"/>
      <c r="B709" s="349"/>
      <c r="C709" s="349"/>
      <c r="D709" s="349"/>
      <c r="E709" s="352"/>
      <c r="F709" s="352"/>
      <c r="G709" s="352"/>
      <c r="H709" s="352"/>
      <c r="I709" s="352"/>
      <c r="J709" s="352"/>
      <c r="K709" s="353"/>
      <c r="L709" s="354"/>
      <c r="M709" s="354"/>
      <c r="N709" s="355"/>
    </row>
    <row r="710" spans="1:14" ht="21.75" customHeight="1" x14ac:dyDescent="0.55000000000000004">
      <c r="A710" s="349"/>
      <c r="B710" s="349"/>
      <c r="C710" s="349"/>
      <c r="D710" s="349"/>
      <c r="E710" s="352"/>
      <c r="F710" s="352"/>
      <c r="G710" s="352"/>
      <c r="H710" s="352"/>
      <c r="I710" s="352"/>
      <c r="J710" s="352"/>
      <c r="K710" s="353"/>
      <c r="L710" s="354"/>
      <c r="M710" s="354"/>
      <c r="N710" s="355"/>
    </row>
    <row r="711" spans="1:14" ht="21.75" customHeight="1" x14ac:dyDescent="0.55000000000000004">
      <c r="A711" s="349"/>
      <c r="B711" s="349"/>
      <c r="C711" s="349"/>
      <c r="D711" s="349"/>
      <c r="E711" s="352"/>
      <c r="F711" s="352"/>
      <c r="G711" s="352"/>
      <c r="H711" s="352"/>
      <c r="I711" s="352"/>
      <c r="J711" s="352"/>
      <c r="K711" s="353"/>
      <c r="L711" s="354"/>
      <c r="M711" s="354"/>
      <c r="N711" s="355"/>
    </row>
    <row r="712" spans="1:14" ht="21.75" customHeight="1" x14ac:dyDescent="0.55000000000000004">
      <c r="A712" s="349"/>
      <c r="B712" s="349"/>
      <c r="C712" s="349"/>
      <c r="D712" s="349"/>
      <c r="E712" s="352"/>
      <c r="F712" s="352"/>
      <c r="G712" s="352"/>
      <c r="H712" s="352"/>
      <c r="I712" s="352"/>
      <c r="J712" s="352"/>
      <c r="K712" s="353"/>
      <c r="L712" s="354"/>
      <c r="M712" s="354"/>
      <c r="N712" s="355"/>
    </row>
    <row r="713" spans="1:14" ht="21.75" customHeight="1" x14ac:dyDescent="0.55000000000000004">
      <c r="A713" s="349"/>
      <c r="B713" s="349"/>
      <c r="C713" s="349"/>
      <c r="D713" s="349"/>
      <c r="E713" s="352"/>
      <c r="F713" s="352"/>
      <c r="G713" s="352"/>
      <c r="H713" s="352"/>
      <c r="I713" s="352"/>
      <c r="J713" s="352"/>
      <c r="K713" s="353"/>
      <c r="L713" s="354"/>
      <c r="M713" s="354"/>
      <c r="N713" s="355"/>
    </row>
    <row r="714" spans="1:14" ht="21.75" customHeight="1" x14ac:dyDescent="0.55000000000000004">
      <c r="A714" s="349"/>
      <c r="B714" s="349"/>
      <c r="C714" s="349"/>
      <c r="D714" s="349"/>
      <c r="E714" s="352"/>
      <c r="F714" s="352"/>
      <c r="G714" s="352"/>
      <c r="H714" s="352"/>
      <c r="I714" s="352"/>
      <c r="J714" s="352"/>
      <c r="K714" s="353"/>
      <c r="L714" s="354"/>
      <c r="M714" s="354"/>
      <c r="N714" s="355"/>
    </row>
    <row r="715" spans="1:14" ht="21.75" customHeight="1" x14ac:dyDescent="0.55000000000000004">
      <c r="A715" s="349"/>
      <c r="B715" s="349"/>
      <c r="C715" s="349"/>
      <c r="D715" s="349"/>
      <c r="E715" s="352"/>
      <c r="F715" s="352"/>
      <c r="G715" s="352"/>
      <c r="H715" s="352"/>
      <c r="I715" s="352"/>
      <c r="J715" s="352"/>
      <c r="K715" s="353"/>
      <c r="L715" s="354"/>
      <c r="M715" s="354"/>
      <c r="N715" s="355"/>
    </row>
    <row r="716" spans="1:14" ht="21.75" customHeight="1" x14ac:dyDescent="0.55000000000000004">
      <c r="A716" s="349"/>
      <c r="B716" s="349"/>
      <c r="C716" s="349"/>
      <c r="D716" s="349"/>
      <c r="E716" s="352"/>
      <c r="F716" s="352"/>
      <c r="G716" s="352"/>
      <c r="H716" s="352"/>
      <c r="I716" s="352"/>
      <c r="J716" s="352"/>
      <c r="K716" s="353"/>
      <c r="L716" s="354"/>
      <c r="M716" s="354"/>
      <c r="N716" s="355"/>
    </row>
    <row r="717" spans="1:14" ht="21.75" customHeight="1" x14ac:dyDescent="0.55000000000000004">
      <c r="A717" s="349"/>
      <c r="B717" s="349"/>
      <c r="C717" s="349"/>
      <c r="D717" s="349"/>
      <c r="E717" s="352"/>
      <c r="F717" s="352"/>
      <c r="G717" s="352"/>
      <c r="H717" s="352"/>
      <c r="I717" s="352"/>
      <c r="J717" s="352"/>
      <c r="K717" s="353"/>
      <c r="L717" s="354"/>
      <c r="M717" s="354"/>
      <c r="N717" s="355"/>
    </row>
    <row r="718" spans="1:14" ht="21.75" customHeight="1" x14ac:dyDescent="0.55000000000000004">
      <c r="A718" s="349"/>
      <c r="B718" s="349"/>
      <c r="C718" s="349"/>
      <c r="D718" s="349"/>
      <c r="E718" s="352"/>
      <c r="F718" s="352"/>
      <c r="G718" s="352"/>
      <c r="H718" s="352"/>
      <c r="I718" s="352"/>
      <c r="J718" s="352"/>
      <c r="K718" s="353"/>
      <c r="L718" s="354"/>
      <c r="M718" s="354"/>
      <c r="N718" s="355"/>
    </row>
    <row r="719" spans="1:14" ht="21.75" customHeight="1" x14ac:dyDescent="0.55000000000000004">
      <c r="A719" s="349"/>
      <c r="B719" s="349"/>
      <c r="C719" s="349"/>
      <c r="D719" s="349"/>
      <c r="E719" s="352"/>
      <c r="F719" s="352"/>
      <c r="G719" s="352"/>
      <c r="H719" s="352"/>
      <c r="I719" s="352"/>
      <c r="J719" s="352"/>
      <c r="K719" s="353"/>
      <c r="L719" s="354"/>
      <c r="M719" s="354"/>
      <c r="N719" s="355"/>
    </row>
    <row r="720" spans="1:14" ht="21.75" customHeight="1" x14ac:dyDescent="0.55000000000000004">
      <c r="A720" s="349"/>
      <c r="B720" s="349"/>
      <c r="C720" s="349"/>
      <c r="D720" s="349"/>
      <c r="E720" s="352"/>
      <c r="F720" s="352"/>
      <c r="G720" s="352"/>
      <c r="H720" s="352"/>
      <c r="I720" s="352"/>
      <c r="J720" s="352"/>
      <c r="K720" s="353"/>
      <c r="L720" s="354"/>
      <c r="M720" s="354"/>
      <c r="N720" s="355"/>
    </row>
    <row r="721" spans="1:14" ht="21.75" customHeight="1" x14ac:dyDescent="0.55000000000000004">
      <c r="A721" s="349"/>
      <c r="B721" s="349"/>
      <c r="C721" s="349"/>
      <c r="D721" s="349"/>
      <c r="E721" s="352"/>
      <c r="F721" s="352"/>
      <c r="G721" s="352"/>
      <c r="H721" s="352"/>
      <c r="I721" s="352"/>
      <c r="J721" s="352"/>
      <c r="K721" s="353"/>
      <c r="L721" s="354"/>
      <c r="M721" s="354"/>
      <c r="N721" s="355"/>
    </row>
    <row r="722" spans="1:14" ht="21.75" customHeight="1" x14ac:dyDescent="0.55000000000000004">
      <c r="A722" s="349"/>
      <c r="B722" s="349"/>
      <c r="C722" s="349"/>
      <c r="D722" s="349"/>
      <c r="E722" s="352"/>
      <c r="F722" s="352"/>
      <c r="G722" s="352"/>
      <c r="H722" s="352"/>
      <c r="I722" s="352"/>
      <c r="J722" s="352"/>
      <c r="K722" s="353"/>
      <c r="L722" s="354"/>
      <c r="M722" s="354"/>
      <c r="N722" s="355"/>
    </row>
    <row r="723" spans="1:14" ht="21.75" customHeight="1" x14ac:dyDescent="0.55000000000000004">
      <c r="A723" s="349"/>
      <c r="B723" s="349"/>
      <c r="C723" s="349"/>
      <c r="D723" s="349"/>
      <c r="E723" s="352"/>
      <c r="F723" s="352"/>
      <c r="G723" s="352"/>
      <c r="H723" s="352"/>
      <c r="I723" s="352"/>
      <c r="J723" s="352"/>
      <c r="K723" s="353"/>
      <c r="L723" s="354"/>
      <c r="M723" s="354"/>
      <c r="N723" s="355"/>
    </row>
    <row r="724" spans="1:14" ht="21.75" customHeight="1" x14ac:dyDescent="0.55000000000000004">
      <c r="A724" s="349"/>
      <c r="B724" s="349"/>
      <c r="C724" s="349"/>
      <c r="D724" s="349"/>
      <c r="E724" s="352"/>
      <c r="F724" s="352"/>
      <c r="G724" s="352"/>
      <c r="H724" s="352"/>
      <c r="I724" s="352"/>
      <c r="J724" s="352"/>
      <c r="K724" s="353"/>
      <c r="L724" s="354"/>
      <c r="M724" s="354"/>
      <c r="N724" s="355"/>
    </row>
    <row r="725" spans="1:14" ht="21.75" customHeight="1" x14ac:dyDescent="0.55000000000000004">
      <c r="A725" s="349"/>
      <c r="B725" s="349"/>
      <c r="C725" s="349"/>
      <c r="D725" s="349"/>
      <c r="E725" s="352"/>
      <c r="F725" s="352"/>
      <c r="G725" s="352"/>
      <c r="H725" s="352"/>
      <c r="I725" s="352"/>
      <c r="J725" s="352"/>
      <c r="K725" s="353"/>
      <c r="L725" s="354"/>
      <c r="M725" s="354"/>
      <c r="N725" s="355"/>
    </row>
    <row r="726" spans="1:14" ht="21.75" customHeight="1" x14ac:dyDescent="0.55000000000000004">
      <c r="A726" s="349"/>
      <c r="B726" s="349"/>
      <c r="C726" s="349"/>
      <c r="D726" s="349"/>
      <c r="E726" s="352"/>
      <c r="F726" s="352"/>
      <c r="G726" s="352"/>
      <c r="H726" s="352"/>
      <c r="I726" s="352"/>
      <c r="J726" s="352"/>
      <c r="K726" s="353"/>
      <c r="L726" s="354"/>
      <c r="M726" s="354"/>
      <c r="N726" s="355"/>
    </row>
    <row r="727" spans="1:14" ht="21.75" customHeight="1" x14ac:dyDescent="0.55000000000000004">
      <c r="A727" s="349"/>
      <c r="B727" s="349"/>
      <c r="C727" s="349"/>
      <c r="D727" s="349"/>
      <c r="E727" s="352"/>
      <c r="F727" s="352"/>
      <c r="G727" s="352"/>
      <c r="H727" s="352"/>
      <c r="I727" s="352"/>
      <c r="J727" s="352"/>
      <c r="K727" s="353"/>
      <c r="L727" s="354"/>
      <c r="M727" s="354"/>
      <c r="N727" s="355"/>
    </row>
    <row r="728" spans="1:14" ht="21.75" customHeight="1" x14ac:dyDescent="0.55000000000000004">
      <c r="A728" s="349"/>
      <c r="B728" s="349"/>
      <c r="C728" s="349"/>
      <c r="D728" s="349"/>
      <c r="E728" s="352"/>
      <c r="F728" s="352"/>
      <c r="G728" s="352"/>
      <c r="H728" s="352"/>
      <c r="I728" s="352"/>
      <c r="J728" s="352"/>
      <c r="K728" s="353"/>
      <c r="L728" s="354"/>
      <c r="M728" s="354"/>
      <c r="N728" s="355"/>
    </row>
    <row r="729" spans="1:14" ht="21.75" customHeight="1" x14ac:dyDescent="0.55000000000000004">
      <c r="A729" s="349"/>
      <c r="B729" s="349"/>
      <c r="C729" s="349"/>
      <c r="D729" s="349"/>
      <c r="E729" s="352"/>
      <c r="F729" s="352"/>
      <c r="G729" s="352"/>
      <c r="H729" s="352"/>
      <c r="I729" s="352"/>
      <c r="J729" s="352"/>
      <c r="K729" s="353"/>
      <c r="L729" s="354"/>
      <c r="M729" s="354"/>
      <c r="N729" s="355"/>
    </row>
    <row r="730" spans="1:14" ht="21.75" customHeight="1" x14ac:dyDescent="0.55000000000000004">
      <c r="A730" s="349"/>
      <c r="B730" s="349"/>
      <c r="C730" s="349"/>
      <c r="D730" s="349"/>
      <c r="E730" s="352"/>
      <c r="F730" s="352"/>
      <c r="G730" s="352"/>
      <c r="H730" s="352"/>
      <c r="I730" s="352"/>
      <c r="J730" s="352"/>
      <c r="K730" s="353"/>
      <c r="L730" s="354"/>
      <c r="M730" s="354"/>
      <c r="N730" s="355"/>
    </row>
    <row r="731" spans="1:14" ht="21.75" customHeight="1" x14ac:dyDescent="0.55000000000000004">
      <c r="A731" s="349"/>
      <c r="B731" s="349"/>
      <c r="C731" s="349"/>
      <c r="D731" s="349"/>
      <c r="E731" s="352"/>
      <c r="F731" s="352"/>
      <c r="G731" s="352"/>
      <c r="H731" s="352"/>
      <c r="I731" s="352"/>
      <c r="J731" s="352"/>
      <c r="K731" s="353"/>
      <c r="L731" s="354"/>
      <c r="M731" s="354"/>
      <c r="N731" s="355"/>
    </row>
    <row r="732" spans="1:14" ht="21.75" customHeight="1" x14ac:dyDescent="0.55000000000000004">
      <c r="A732" s="349"/>
      <c r="B732" s="349"/>
      <c r="C732" s="349"/>
      <c r="D732" s="349"/>
      <c r="E732" s="352"/>
      <c r="F732" s="352"/>
      <c r="G732" s="352"/>
      <c r="H732" s="352"/>
      <c r="I732" s="352"/>
      <c r="J732" s="352"/>
      <c r="K732" s="353"/>
      <c r="L732" s="354"/>
      <c r="M732" s="354"/>
      <c r="N732" s="355"/>
    </row>
    <row r="733" spans="1:14" ht="21.75" customHeight="1" x14ac:dyDescent="0.55000000000000004">
      <c r="A733" s="349"/>
      <c r="B733" s="349"/>
      <c r="C733" s="349"/>
      <c r="D733" s="349"/>
      <c r="E733" s="352"/>
      <c r="F733" s="352"/>
      <c r="G733" s="352"/>
      <c r="H733" s="352"/>
      <c r="I733" s="352"/>
      <c r="J733" s="352"/>
      <c r="K733" s="353"/>
      <c r="L733" s="354"/>
      <c r="M733" s="354"/>
      <c r="N733" s="355"/>
    </row>
    <row r="734" spans="1:14" ht="21.75" customHeight="1" x14ac:dyDescent="0.55000000000000004">
      <c r="A734" s="349"/>
      <c r="B734" s="349"/>
      <c r="C734" s="349"/>
      <c r="D734" s="349"/>
      <c r="E734" s="352"/>
      <c r="F734" s="352"/>
      <c r="G734" s="352"/>
      <c r="H734" s="352"/>
      <c r="I734" s="352"/>
      <c r="J734" s="352"/>
      <c r="K734" s="353"/>
      <c r="L734" s="354"/>
      <c r="M734" s="354"/>
      <c r="N734" s="355"/>
    </row>
    <row r="735" spans="1:14" ht="21.75" customHeight="1" x14ac:dyDescent="0.55000000000000004">
      <c r="A735" s="349"/>
      <c r="B735" s="349"/>
      <c r="C735" s="349"/>
      <c r="D735" s="349"/>
      <c r="E735" s="352"/>
      <c r="F735" s="352"/>
      <c r="G735" s="352"/>
      <c r="H735" s="352"/>
      <c r="I735" s="352"/>
      <c r="J735" s="352"/>
      <c r="K735" s="353"/>
      <c r="L735" s="354"/>
      <c r="M735" s="354"/>
      <c r="N735" s="355"/>
    </row>
    <row r="736" spans="1:14" ht="21.75" customHeight="1" x14ac:dyDescent="0.55000000000000004">
      <c r="A736" s="349"/>
      <c r="B736" s="349"/>
      <c r="C736" s="349"/>
      <c r="D736" s="349"/>
      <c r="E736" s="352"/>
      <c r="F736" s="352"/>
      <c r="G736" s="352"/>
      <c r="H736" s="352"/>
      <c r="I736" s="352"/>
      <c r="J736" s="352"/>
      <c r="K736" s="353"/>
      <c r="L736" s="354"/>
      <c r="M736" s="354"/>
      <c r="N736" s="355"/>
    </row>
    <row r="737" spans="1:14" ht="21.75" customHeight="1" x14ac:dyDescent="0.55000000000000004">
      <c r="A737" s="349"/>
      <c r="B737" s="349"/>
      <c r="C737" s="349"/>
      <c r="D737" s="349"/>
      <c r="E737" s="352"/>
      <c r="F737" s="352"/>
      <c r="G737" s="352"/>
      <c r="H737" s="352"/>
      <c r="I737" s="352"/>
      <c r="J737" s="352"/>
      <c r="K737" s="353"/>
      <c r="L737" s="354"/>
      <c r="M737" s="354"/>
      <c r="N737" s="355"/>
    </row>
    <row r="738" spans="1:14" ht="21.75" customHeight="1" x14ac:dyDescent="0.55000000000000004">
      <c r="A738" s="349"/>
      <c r="B738" s="349"/>
      <c r="C738" s="349"/>
      <c r="D738" s="349"/>
      <c r="E738" s="352"/>
      <c r="F738" s="352"/>
      <c r="G738" s="352"/>
      <c r="H738" s="352"/>
      <c r="I738" s="352"/>
      <c r="J738" s="352"/>
      <c r="K738" s="353"/>
      <c r="L738" s="354"/>
      <c r="M738" s="354"/>
      <c r="N738" s="355"/>
    </row>
    <row r="739" spans="1:14" ht="21.75" customHeight="1" x14ac:dyDescent="0.55000000000000004">
      <c r="A739" s="349"/>
      <c r="B739" s="349"/>
      <c r="C739" s="349"/>
      <c r="D739" s="349"/>
      <c r="E739" s="352"/>
      <c r="F739" s="352"/>
      <c r="G739" s="352"/>
      <c r="H739" s="352"/>
      <c r="I739" s="352"/>
      <c r="J739" s="352"/>
      <c r="K739" s="353"/>
      <c r="L739" s="354"/>
      <c r="M739" s="354"/>
      <c r="N739" s="355"/>
    </row>
    <row r="740" spans="1:14" ht="21.75" customHeight="1" x14ac:dyDescent="0.55000000000000004">
      <c r="A740" s="349"/>
      <c r="B740" s="349"/>
      <c r="C740" s="349"/>
      <c r="D740" s="349"/>
      <c r="E740" s="352"/>
      <c r="F740" s="352"/>
      <c r="G740" s="352"/>
      <c r="H740" s="352"/>
      <c r="I740" s="352"/>
      <c r="J740" s="352"/>
      <c r="K740" s="353"/>
      <c r="L740" s="354"/>
      <c r="M740" s="354"/>
      <c r="N740" s="355"/>
    </row>
    <row r="741" spans="1:14" ht="21.75" customHeight="1" x14ac:dyDescent="0.55000000000000004">
      <c r="A741" s="349"/>
      <c r="B741" s="349"/>
      <c r="C741" s="349"/>
      <c r="D741" s="349"/>
      <c r="E741" s="352"/>
      <c r="F741" s="352"/>
      <c r="G741" s="352"/>
      <c r="H741" s="352"/>
      <c r="I741" s="352"/>
      <c r="J741" s="352"/>
      <c r="K741" s="353"/>
      <c r="L741" s="354"/>
      <c r="M741" s="354"/>
      <c r="N741" s="355"/>
    </row>
    <row r="742" spans="1:14" ht="21.75" customHeight="1" x14ac:dyDescent="0.55000000000000004">
      <c r="A742" s="349"/>
      <c r="B742" s="349"/>
      <c r="C742" s="349"/>
      <c r="D742" s="349"/>
      <c r="E742" s="352"/>
      <c r="F742" s="352"/>
      <c r="G742" s="352"/>
      <c r="H742" s="352"/>
      <c r="I742" s="352"/>
      <c r="J742" s="352"/>
      <c r="K742" s="353"/>
      <c r="L742" s="354"/>
      <c r="M742" s="354"/>
      <c r="N742" s="355"/>
    </row>
    <row r="743" spans="1:14" ht="21.75" customHeight="1" x14ac:dyDescent="0.55000000000000004">
      <c r="A743" s="349"/>
      <c r="B743" s="349"/>
      <c r="C743" s="349"/>
      <c r="D743" s="349"/>
      <c r="E743" s="352"/>
      <c r="F743" s="352"/>
      <c r="G743" s="352"/>
      <c r="H743" s="352"/>
      <c r="I743" s="352"/>
      <c r="J743" s="352"/>
      <c r="K743" s="353"/>
      <c r="L743" s="354"/>
      <c r="M743" s="354"/>
      <c r="N743" s="355"/>
    </row>
    <row r="744" spans="1:14" ht="21.75" customHeight="1" x14ac:dyDescent="0.55000000000000004">
      <c r="A744" s="349"/>
      <c r="B744" s="349"/>
      <c r="C744" s="349"/>
      <c r="D744" s="349"/>
      <c r="E744" s="352"/>
      <c r="F744" s="352"/>
      <c r="G744" s="352"/>
      <c r="H744" s="352"/>
      <c r="I744" s="352"/>
      <c r="J744" s="352"/>
      <c r="K744" s="353"/>
      <c r="L744" s="354"/>
      <c r="M744" s="354"/>
      <c r="N744" s="355"/>
    </row>
    <row r="745" spans="1:14" ht="21.75" customHeight="1" x14ac:dyDescent="0.55000000000000004">
      <c r="A745" s="349"/>
      <c r="B745" s="349"/>
      <c r="C745" s="349"/>
      <c r="D745" s="349"/>
      <c r="E745" s="352"/>
      <c r="F745" s="352"/>
      <c r="G745" s="352"/>
      <c r="H745" s="352"/>
      <c r="I745" s="352"/>
      <c r="J745" s="352"/>
      <c r="K745" s="353"/>
      <c r="L745" s="354"/>
      <c r="M745" s="354"/>
      <c r="N745" s="355"/>
    </row>
    <row r="746" spans="1:14" ht="21.75" customHeight="1" x14ac:dyDescent="0.55000000000000004">
      <c r="A746" s="349"/>
      <c r="B746" s="349"/>
      <c r="C746" s="349"/>
      <c r="D746" s="349"/>
      <c r="E746" s="352"/>
      <c r="F746" s="352"/>
      <c r="G746" s="352"/>
      <c r="H746" s="352"/>
      <c r="I746" s="352"/>
      <c r="J746" s="352"/>
      <c r="K746" s="353"/>
      <c r="L746" s="354"/>
      <c r="M746" s="354"/>
      <c r="N746" s="355"/>
    </row>
    <row r="747" spans="1:14" ht="21.75" customHeight="1" x14ac:dyDescent="0.55000000000000004">
      <c r="A747" s="349"/>
      <c r="B747" s="349"/>
      <c r="C747" s="349"/>
      <c r="D747" s="349"/>
      <c r="E747" s="352"/>
      <c r="F747" s="352"/>
      <c r="G747" s="352"/>
      <c r="H747" s="352"/>
      <c r="I747" s="352"/>
      <c r="J747" s="352"/>
      <c r="K747" s="353"/>
      <c r="L747" s="354"/>
      <c r="M747" s="354"/>
      <c r="N747" s="355"/>
    </row>
    <row r="748" spans="1:14" ht="21.75" customHeight="1" x14ac:dyDescent="0.55000000000000004">
      <c r="A748" s="349"/>
      <c r="B748" s="349"/>
      <c r="C748" s="349"/>
      <c r="D748" s="349"/>
      <c r="E748" s="352"/>
      <c r="F748" s="352"/>
      <c r="G748" s="352"/>
      <c r="H748" s="352"/>
      <c r="I748" s="352"/>
      <c r="J748" s="352"/>
      <c r="K748" s="353"/>
      <c r="L748" s="354"/>
      <c r="M748" s="354"/>
      <c r="N748" s="355"/>
    </row>
    <row r="749" spans="1:14" ht="21.75" customHeight="1" x14ac:dyDescent="0.55000000000000004">
      <c r="A749" s="349"/>
      <c r="B749" s="349"/>
      <c r="C749" s="349"/>
      <c r="D749" s="349"/>
      <c r="E749" s="352"/>
      <c r="F749" s="352"/>
      <c r="G749" s="352"/>
      <c r="H749" s="352"/>
      <c r="I749" s="352"/>
      <c r="J749" s="352"/>
      <c r="K749" s="353"/>
      <c r="L749" s="354"/>
      <c r="M749" s="354"/>
      <c r="N749" s="355"/>
    </row>
    <row r="750" spans="1:14" ht="21.75" customHeight="1" x14ac:dyDescent="0.55000000000000004">
      <c r="A750" s="349"/>
      <c r="B750" s="349"/>
      <c r="C750" s="349"/>
      <c r="D750" s="349"/>
      <c r="E750" s="352"/>
      <c r="F750" s="352"/>
      <c r="G750" s="352"/>
      <c r="H750" s="352"/>
      <c r="I750" s="352"/>
      <c r="J750" s="352"/>
      <c r="K750" s="353"/>
      <c r="L750" s="354"/>
      <c r="M750" s="354"/>
      <c r="N750" s="355"/>
    </row>
    <row r="751" spans="1:14" ht="21.75" customHeight="1" x14ac:dyDescent="0.55000000000000004">
      <c r="A751" s="349"/>
      <c r="B751" s="349"/>
      <c r="C751" s="349"/>
      <c r="D751" s="349"/>
      <c r="E751" s="352"/>
      <c r="F751" s="352"/>
      <c r="G751" s="352"/>
      <c r="H751" s="352"/>
      <c r="I751" s="352"/>
      <c r="J751" s="352"/>
      <c r="K751" s="353"/>
      <c r="L751" s="354"/>
      <c r="M751" s="354"/>
      <c r="N751" s="355"/>
    </row>
    <row r="752" spans="1:14" ht="21.75" customHeight="1" x14ac:dyDescent="0.55000000000000004">
      <c r="A752" s="349"/>
      <c r="B752" s="349"/>
      <c r="C752" s="349"/>
      <c r="D752" s="349"/>
      <c r="E752" s="352"/>
      <c r="F752" s="352"/>
      <c r="G752" s="352"/>
      <c r="H752" s="352"/>
      <c r="I752" s="352"/>
      <c r="J752" s="352"/>
      <c r="K752" s="353"/>
      <c r="L752" s="354"/>
      <c r="M752" s="354"/>
      <c r="N752" s="355"/>
    </row>
    <row r="753" spans="1:14" ht="21.75" customHeight="1" x14ac:dyDescent="0.55000000000000004">
      <c r="A753" s="349"/>
      <c r="B753" s="349"/>
      <c r="C753" s="349"/>
      <c r="D753" s="349"/>
      <c r="E753" s="352"/>
      <c r="F753" s="352"/>
      <c r="G753" s="352"/>
      <c r="H753" s="352"/>
      <c r="I753" s="352"/>
      <c r="J753" s="352"/>
      <c r="K753" s="353"/>
      <c r="L753" s="354"/>
      <c r="M753" s="354"/>
      <c r="N753" s="355"/>
    </row>
    <row r="754" spans="1:14" ht="21.75" customHeight="1" x14ac:dyDescent="0.55000000000000004">
      <c r="A754" s="349"/>
      <c r="B754" s="349"/>
      <c r="C754" s="349"/>
      <c r="D754" s="349"/>
      <c r="E754" s="352"/>
      <c r="F754" s="352"/>
      <c r="G754" s="352"/>
      <c r="H754" s="352"/>
      <c r="I754" s="352"/>
      <c r="J754" s="352"/>
      <c r="K754" s="353"/>
      <c r="L754" s="354"/>
      <c r="M754" s="354"/>
      <c r="N754" s="355"/>
    </row>
    <row r="755" spans="1:14" ht="21.75" customHeight="1" x14ac:dyDescent="0.55000000000000004">
      <c r="A755" s="349"/>
      <c r="B755" s="349"/>
      <c r="C755" s="349"/>
      <c r="D755" s="349"/>
      <c r="E755" s="352"/>
      <c r="F755" s="352"/>
      <c r="G755" s="352"/>
      <c r="H755" s="352"/>
      <c r="I755" s="352"/>
      <c r="J755" s="352"/>
      <c r="K755" s="353"/>
      <c r="L755" s="354"/>
      <c r="M755" s="354"/>
      <c r="N755" s="355"/>
    </row>
    <row r="756" spans="1:14" ht="21.75" customHeight="1" x14ac:dyDescent="0.55000000000000004">
      <c r="A756" s="349"/>
      <c r="B756" s="349"/>
      <c r="C756" s="349"/>
      <c r="D756" s="349"/>
      <c r="E756" s="352"/>
      <c r="F756" s="352"/>
      <c r="G756" s="352"/>
      <c r="H756" s="352"/>
      <c r="I756" s="352"/>
      <c r="J756" s="352"/>
      <c r="K756" s="353"/>
      <c r="L756" s="354"/>
      <c r="M756" s="354"/>
      <c r="N756" s="355"/>
    </row>
    <row r="757" spans="1:14" ht="21.75" customHeight="1" x14ac:dyDescent="0.55000000000000004">
      <c r="A757" s="349"/>
      <c r="B757" s="349"/>
      <c r="C757" s="349"/>
      <c r="D757" s="349"/>
      <c r="E757" s="352"/>
      <c r="F757" s="352"/>
      <c r="G757" s="352"/>
      <c r="H757" s="352"/>
      <c r="I757" s="352"/>
      <c r="J757" s="352"/>
      <c r="K757" s="353"/>
      <c r="L757" s="354"/>
      <c r="M757" s="354"/>
      <c r="N757" s="355"/>
    </row>
    <row r="758" spans="1:14" ht="21.75" customHeight="1" x14ac:dyDescent="0.55000000000000004">
      <c r="A758" s="349"/>
      <c r="B758" s="349"/>
      <c r="C758" s="349"/>
      <c r="D758" s="349"/>
      <c r="E758" s="352"/>
      <c r="F758" s="352"/>
      <c r="G758" s="352"/>
      <c r="H758" s="352"/>
      <c r="I758" s="352"/>
      <c r="J758" s="352"/>
      <c r="K758" s="353"/>
      <c r="L758" s="354"/>
      <c r="M758" s="354"/>
      <c r="N758" s="355"/>
    </row>
    <row r="759" spans="1:14" ht="21.75" customHeight="1" x14ac:dyDescent="0.55000000000000004">
      <c r="A759" s="349"/>
      <c r="B759" s="349"/>
      <c r="C759" s="349"/>
      <c r="D759" s="349"/>
      <c r="E759" s="352"/>
      <c r="F759" s="352"/>
      <c r="G759" s="352"/>
      <c r="H759" s="352"/>
      <c r="I759" s="352"/>
      <c r="J759" s="352"/>
      <c r="K759" s="353"/>
      <c r="L759" s="354"/>
      <c r="M759" s="354"/>
      <c r="N759" s="355"/>
    </row>
    <row r="760" spans="1:14" ht="21.75" customHeight="1" x14ac:dyDescent="0.55000000000000004">
      <c r="A760" s="349"/>
      <c r="B760" s="349"/>
      <c r="C760" s="349"/>
      <c r="D760" s="349"/>
      <c r="E760" s="352"/>
      <c r="F760" s="352"/>
      <c r="G760" s="352"/>
      <c r="H760" s="352"/>
      <c r="I760" s="352"/>
      <c r="J760" s="352"/>
      <c r="K760" s="353"/>
      <c r="L760" s="354"/>
      <c r="M760" s="354"/>
      <c r="N760" s="355"/>
    </row>
    <row r="761" spans="1:14" ht="21.75" customHeight="1" x14ac:dyDescent="0.55000000000000004">
      <c r="A761" s="349"/>
      <c r="B761" s="349"/>
      <c r="C761" s="349"/>
      <c r="D761" s="349"/>
      <c r="E761" s="352"/>
      <c r="F761" s="352"/>
      <c r="G761" s="352"/>
      <c r="H761" s="352"/>
      <c r="I761" s="352"/>
      <c r="J761" s="352"/>
      <c r="K761" s="353"/>
      <c r="L761" s="354"/>
      <c r="M761" s="354"/>
      <c r="N761" s="355"/>
    </row>
    <row r="762" spans="1:14" ht="21.75" customHeight="1" x14ac:dyDescent="0.55000000000000004">
      <c r="A762" s="349"/>
      <c r="B762" s="349"/>
      <c r="C762" s="349"/>
      <c r="D762" s="349"/>
      <c r="E762" s="352"/>
      <c r="F762" s="352"/>
      <c r="G762" s="352"/>
      <c r="H762" s="352"/>
      <c r="I762" s="352"/>
      <c r="J762" s="352"/>
      <c r="K762" s="353"/>
      <c r="L762" s="354"/>
      <c r="M762" s="354"/>
      <c r="N762" s="355"/>
    </row>
    <row r="763" spans="1:14" ht="21.75" customHeight="1" x14ac:dyDescent="0.55000000000000004">
      <c r="A763" s="349"/>
      <c r="B763" s="349"/>
      <c r="C763" s="349"/>
      <c r="D763" s="349"/>
      <c r="E763" s="352"/>
      <c r="F763" s="352"/>
      <c r="G763" s="352"/>
      <c r="H763" s="352"/>
      <c r="I763" s="352"/>
      <c r="J763" s="352"/>
      <c r="K763" s="353"/>
      <c r="L763" s="354"/>
      <c r="M763" s="354"/>
      <c r="N763" s="355"/>
    </row>
    <row r="764" spans="1:14" ht="21.75" customHeight="1" x14ac:dyDescent="0.55000000000000004">
      <c r="A764" s="349"/>
      <c r="B764" s="349"/>
      <c r="C764" s="349"/>
      <c r="D764" s="349"/>
      <c r="E764" s="352"/>
      <c r="F764" s="352"/>
      <c r="G764" s="352"/>
      <c r="H764" s="352"/>
      <c r="I764" s="352"/>
      <c r="J764" s="352"/>
      <c r="K764" s="353"/>
      <c r="L764" s="354"/>
      <c r="M764" s="354"/>
      <c r="N764" s="355"/>
    </row>
    <row r="765" spans="1:14" ht="21.75" customHeight="1" x14ac:dyDescent="0.55000000000000004">
      <c r="A765" s="349"/>
      <c r="B765" s="349"/>
      <c r="C765" s="349"/>
      <c r="D765" s="349"/>
      <c r="E765" s="352"/>
      <c r="F765" s="352"/>
      <c r="G765" s="352"/>
      <c r="H765" s="352"/>
      <c r="I765" s="352"/>
      <c r="J765" s="352"/>
      <c r="K765" s="353"/>
      <c r="L765" s="354"/>
      <c r="M765" s="354"/>
      <c r="N765" s="355"/>
    </row>
    <row r="766" spans="1:14" ht="21.75" customHeight="1" x14ac:dyDescent="0.55000000000000004">
      <c r="A766" s="349"/>
      <c r="B766" s="349"/>
      <c r="C766" s="349"/>
      <c r="D766" s="349"/>
      <c r="E766" s="352"/>
      <c r="F766" s="352"/>
      <c r="G766" s="352"/>
      <c r="H766" s="352"/>
      <c r="I766" s="352"/>
      <c r="J766" s="352"/>
      <c r="K766" s="353"/>
      <c r="L766" s="354"/>
      <c r="M766" s="354"/>
      <c r="N766" s="355"/>
    </row>
    <row r="767" spans="1:14" ht="21.75" customHeight="1" x14ac:dyDescent="0.55000000000000004">
      <c r="A767" s="349"/>
      <c r="B767" s="349"/>
      <c r="C767" s="349"/>
      <c r="D767" s="349"/>
      <c r="E767" s="352"/>
      <c r="F767" s="352"/>
      <c r="G767" s="352"/>
      <c r="H767" s="352"/>
      <c r="I767" s="352"/>
      <c r="J767" s="352"/>
      <c r="K767" s="353"/>
      <c r="L767" s="354"/>
      <c r="M767" s="354"/>
      <c r="N767" s="355"/>
    </row>
    <row r="768" spans="1:14" ht="21.75" customHeight="1" x14ac:dyDescent="0.55000000000000004">
      <c r="A768" s="349"/>
      <c r="B768" s="349"/>
      <c r="C768" s="349"/>
      <c r="D768" s="349"/>
      <c r="E768" s="352"/>
      <c r="F768" s="352"/>
      <c r="G768" s="352"/>
      <c r="H768" s="352"/>
      <c r="I768" s="352"/>
      <c r="J768" s="352"/>
      <c r="K768" s="353"/>
      <c r="L768" s="354"/>
      <c r="M768" s="354"/>
      <c r="N768" s="355"/>
    </row>
    <row r="769" spans="1:14" ht="21.75" customHeight="1" x14ac:dyDescent="0.55000000000000004">
      <c r="A769" s="349"/>
      <c r="B769" s="349"/>
      <c r="C769" s="349"/>
      <c r="D769" s="349"/>
      <c r="E769" s="352"/>
      <c r="F769" s="352"/>
      <c r="G769" s="352"/>
      <c r="H769" s="352"/>
      <c r="I769" s="352"/>
      <c r="J769" s="352"/>
      <c r="K769" s="353"/>
      <c r="L769" s="354"/>
      <c r="M769" s="354"/>
      <c r="N769" s="355"/>
    </row>
    <row r="770" spans="1:14" ht="21.75" customHeight="1" x14ac:dyDescent="0.55000000000000004">
      <c r="A770" s="349"/>
      <c r="B770" s="349"/>
      <c r="C770" s="349"/>
      <c r="D770" s="349"/>
      <c r="E770" s="352"/>
      <c r="F770" s="352"/>
      <c r="G770" s="352"/>
      <c r="H770" s="352"/>
      <c r="I770" s="352"/>
      <c r="J770" s="352"/>
      <c r="K770" s="353"/>
      <c r="L770" s="354"/>
      <c r="M770" s="354"/>
      <c r="N770" s="355"/>
    </row>
    <row r="771" spans="1:14" ht="21.75" customHeight="1" x14ac:dyDescent="0.55000000000000004">
      <c r="A771" s="349"/>
      <c r="B771" s="349"/>
      <c r="C771" s="349"/>
      <c r="D771" s="349"/>
      <c r="E771" s="352"/>
      <c r="F771" s="352"/>
      <c r="G771" s="352"/>
      <c r="H771" s="352"/>
      <c r="I771" s="352"/>
      <c r="J771" s="352"/>
      <c r="K771" s="353"/>
      <c r="L771" s="354"/>
      <c r="M771" s="354"/>
      <c r="N771" s="355"/>
    </row>
    <row r="772" spans="1:14" ht="21.75" customHeight="1" x14ac:dyDescent="0.55000000000000004">
      <c r="A772" s="349"/>
      <c r="B772" s="349"/>
      <c r="C772" s="349"/>
      <c r="D772" s="349"/>
      <c r="E772" s="352"/>
      <c r="F772" s="352"/>
      <c r="G772" s="352"/>
      <c r="H772" s="352"/>
      <c r="I772" s="352"/>
      <c r="J772" s="352"/>
      <c r="K772" s="353"/>
      <c r="L772" s="354"/>
      <c r="M772" s="354"/>
      <c r="N772" s="355"/>
    </row>
    <row r="773" spans="1:14" ht="21.75" customHeight="1" x14ac:dyDescent="0.55000000000000004">
      <c r="A773" s="349"/>
      <c r="B773" s="349"/>
      <c r="C773" s="349"/>
      <c r="D773" s="349"/>
      <c r="E773" s="352"/>
      <c r="F773" s="352"/>
      <c r="G773" s="352"/>
      <c r="H773" s="352"/>
      <c r="I773" s="352"/>
      <c r="J773" s="352"/>
      <c r="K773" s="353"/>
      <c r="L773" s="354"/>
      <c r="M773" s="354"/>
      <c r="N773" s="355"/>
    </row>
    <row r="774" spans="1:14" ht="21.75" customHeight="1" x14ac:dyDescent="0.55000000000000004">
      <c r="A774" s="349"/>
      <c r="B774" s="349"/>
      <c r="C774" s="349"/>
      <c r="D774" s="349"/>
      <c r="E774" s="352"/>
      <c r="F774" s="352"/>
      <c r="G774" s="352"/>
      <c r="H774" s="352"/>
      <c r="I774" s="352"/>
      <c r="J774" s="352"/>
      <c r="K774" s="353"/>
      <c r="L774" s="354"/>
      <c r="M774" s="354"/>
      <c r="N774" s="355"/>
    </row>
    <row r="775" spans="1:14" ht="21.75" customHeight="1" x14ac:dyDescent="0.55000000000000004">
      <c r="A775" s="349"/>
      <c r="B775" s="349"/>
      <c r="C775" s="349"/>
      <c r="D775" s="349"/>
      <c r="E775" s="352"/>
      <c r="F775" s="352"/>
      <c r="G775" s="352"/>
      <c r="H775" s="352"/>
      <c r="I775" s="352"/>
      <c r="J775" s="352"/>
      <c r="K775" s="353"/>
      <c r="L775" s="354"/>
      <c r="M775" s="354"/>
      <c r="N775" s="355"/>
    </row>
    <row r="776" spans="1:14" ht="21.75" customHeight="1" x14ac:dyDescent="0.55000000000000004">
      <c r="A776" s="349"/>
      <c r="B776" s="349"/>
      <c r="C776" s="349"/>
      <c r="D776" s="349"/>
      <c r="E776" s="352"/>
      <c r="F776" s="352"/>
      <c r="G776" s="352"/>
      <c r="H776" s="352"/>
      <c r="I776" s="352"/>
      <c r="J776" s="352"/>
      <c r="K776" s="353"/>
      <c r="L776" s="354"/>
      <c r="M776" s="354"/>
      <c r="N776" s="355"/>
    </row>
    <row r="777" spans="1:14" ht="21.75" customHeight="1" x14ac:dyDescent="0.55000000000000004">
      <c r="A777" s="349"/>
      <c r="B777" s="349"/>
      <c r="C777" s="349"/>
      <c r="D777" s="349"/>
      <c r="E777" s="352"/>
      <c r="F777" s="352"/>
      <c r="G777" s="352"/>
      <c r="H777" s="352"/>
      <c r="I777" s="352"/>
      <c r="J777" s="352"/>
      <c r="K777" s="353"/>
      <c r="L777" s="354"/>
      <c r="M777" s="354"/>
      <c r="N777" s="355"/>
    </row>
    <row r="778" spans="1:14" ht="21.75" customHeight="1" x14ac:dyDescent="0.55000000000000004">
      <c r="A778" s="349"/>
      <c r="B778" s="349"/>
      <c r="C778" s="349"/>
      <c r="D778" s="349"/>
      <c r="E778" s="352"/>
      <c r="F778" s="352"/>
      <c r="G778" s="352"/>
      <c r="H778" s="352"/>
      <c r="I778" s="352"/>
      <c r="J778" s="352"/>
      <c r="K778" s="353"/>
      <c r="L778" s="354"/>
      <c r="M778" s="354"/>
      <c r="N778" s="355"/>
    </row>
    <row r="779" spans="1:14" ht="21.75" customHeight="1" x14ac:dyDescent="0.55000000000000004">
      <c r="A779" s="349"/>
      <c r="B779" s="349"/>
      <c r="C779" s="349"/>
      <c r="D779" s="349"/>
      <c r="E779" s="352"/>
      <c r="F779" s="352"/>
      <c r="G779" s="352"/>
      <c r="H779" s="352"/>
      <c r="I779" s="352"/>
      <c r="J779" s="352"/>
      <c r="K779" s="353"/>
      <c r="L779" s="354"/>
      <c r="M779" s="354"/>
      <c r="N779" s="355"/>
    </row>
    <row r="780" spans="1:14" ht="21.75" customHeight="1" x14ac:dyDescent="0.55000000000000004">
      <c r="A780" s="349"/>
      <c r="B780" s="349"/>
      <c r="C780" s="349"/>
      <c r="D780" s="349"/>
      <c r="E780" s="352"/>
      <c r="F780" s="352"/>
      <c r="G780" s="352"/>
      <c r="H780" s="352"/>
      <c r="I780" s="352"/>
      <c r="J780" s="352"/>
      <c r="K780" s="353"/>
      <c r="L780" s="354"/>
      <c r="M780" s="354"/>
      <c r="N780" s="355"/>
    </row>
    <row r="781" spans="1:14" ht="21.75" customHeight="1" x14ac:dyDescent="0.55000000000000004">
      <c r="A781" s="349"/>
      <c r="B781" s="349"/>
      <c r="C781" s="349"/>
      <c r="D781" s="349"/>
      <c r="E781" s="352"/>
      <c r="F781" s="352"/>
      <c r="G781" s="352"/>
      <c r="H781" s="352"/>
      <c r="I781" s="352"/>
      <c r="J781" s="352"/>
      <c r="K781" s="353"/>
      <c r="L781" s="354"/>
      <c r="M781" s="354"/>
      <c r="N781" s="355"/>
    </row>
    <row r="782" spans="1:14" ht="21.75" customHeight="1" x14ac:dyDescent="0.55000000000000004">
      <c r="A782" s="349"/>
      <c r="B782" s="349"/>
      <c r="C782" s="349"/>
      <c r="D782" s="349"/>
      <c r="E782" s="352"/>
      <c r="F782" s="352"/>
      <c r="G782" s="352"/>
      <c r="H782" s="352"/>
      <c r="I782" s="352"/>
      <c r="J782" s="352"/>
      <c r="K782" s="353"/>
      <c r="L782" s="354"/>
      <c r="M782" s="354"/>
      <c r="N782" s="355"/>
    </row>
    <row r="783" spans="1:14" ht="21.75" customHeight="1" x14ac:dyDescent="0.55000000000000004">
      <c r="A783" s="349"/>
      <c r="B783" s="349"/>
      <c r="C783" s="349"/>
      <c r="D783" s="349"/>
      <c r="E783" s="352"/>
      <c r="F783" s="352"/>
      <c r="G783" s="352"/>
      <c r="H783" s="352"/>
      <c r="I783" s="352"/>
      <c r="J783" s="352"/>
      <c r="K783" s="353"/>
      <c r="L783" s="354"/>
      <c r="M783" s="354"/>
      <c r="N783" s="355"/>
    </row>
    <row r="784" spans="1:14" ht="21.75" customHeight="1" x14ac:dyDescent="0.55000000000000004">
      <c r="A784" s="349"/>
      <c r="B784" s="349"/>
      <c r="C784" s="349"/>
      <c r="D784" s="349"/>
      <c r="E784" s="352"/>
      <c r="F784" s="352"/>
      <c r="G784" s="352"/>
      <c r="H784" s="352"/>
      <c r="I784" s="352"/>
      <c r="J784" s="352"/>
      <c r="K784" s="353"/>
      <c r="L784" s="354"/>
      <c r="M784" s="354"/>
      <c r="N784" s="355"/>
    </row>
    <row r="785" spans="1:14" ht="21.75" customHeight="1" x14ac:dyDescent="0.55000000000000004">
      <c r="A785" s="349"/>
      <c r="B785" s="349"/>
      <c r="C785" s="349"/>
      <c r="D785" s="349"/>
      <c r="E785" s="352"/>
      <c r="F785" s="352"/>
      <c r="G785" s="352"/>
      <c r="H785" s="352"/>
      <c r="I785" s="352"/>
      <c r="J785" s="352"/>
      <c r="K785" s="353"/>
      <c r="L785" s="354"/>
      <c r="M785" s="354"/>
      <c r="N785" s="355"/>
    </row>
    <row r="786" spans="1:14" ht="21.75" customHeight="1" x14ac:dyDescent="0.55000000000000004">
      <c r="A786" s="349"/>
      <c r="B786" s="349"/>
      <c r="C786" s="349"/>
      <c r="D786" s="349"/>
      <c r="E786" s="352"/>
      <c r="F786" s="352"/>
      <c r="G786" s="352"/>
      <c r="H786" s="352"/>
      <c r="I786" s="352"/>
      <c r="J786" s="352"/>
      <c r="K786" s="353"/>
      <c r="L786" s="354"/>
      <c r="M786" s="354"/>
      <c r="N786" s="355"/>
    </row>
    <row r="787" spans="1:14" ht="21.75" customHeight="1" x14ac:dyDescent="0.55000000000000004">
      <c r="A787" s="349"/>
      <c r="B787" s="349"/>
      <c r="C787" s="349"/>
      <c r="D787" s="349"/>
      <c r="E787" s="352"/>
      <c r="F787" s="352"/>
      <c r="G787" s="352"/>
      <c r="H787" s="352"/>
      <c r="I787" s="352"/>
      <c r="J787" s="352"/>
      <c r="K787" s="353"/>
      <c r="L787" s="354"/>
      <c r="M787" s="354"/>
      <c r="N787" s="355"/>
    </row>
    <row r="788" spans="1:14" ht="21.75" customHeight="1" x14ac:dyDescent="0.55000000000000004">
      <c r="A788" s="349"/>
      <c r="B788" s="349"/>
      <c r="C788" s="349"/>
      <c r="D788" s="349"/>
      <c r="E788" s="352"/>
      <c r="F788" s="352"/>
      <c r="G788" s="352"/>
      <c r="H788" s="352"/>
      <c r="I788" s="352"/>
      <c r="J788" s="352"/>
      <c r="K788" s="353"/>
      <c r="L788" s="354"/>
      <c r="M788" s="354"/>
      <c r="N788" s="355"/>
    </row>
    <row r="789" spans="1:14" ht="21.75" customHeight="1" x14ac:dyDescent="0.55000000000000004">
      <c r="A789" s="349"/>
      <c r="B789" s="349"/>
      <c r="C789" s="349"/>
      <c r="D789" s="349"/>
      <c r="E789" s="352"/>
      <c r="F789" s="352"/>
      <c r="G789" s="352"/>
      <c r="H789" s="352"/>
      <c r="I789" s="352"/>
      <c r="J789" s="352"/>
      <c r="K789" s="353"/>
      <c r="L789" s="354"/>
      <c r="M789" s="354"/>
      <c r="N789" s="355"/>
    </row>
    <row r="790" spans="1:14" ht="21.75" customHeight="1" x14ac:dyDescent="0.55000000000000004">
      <c r="A790" s="349"/>
      <c r="B790" s="349"/>
      <c r="C790" s="349"/>
      <c r="D790" s="349"/>
      <c r="E790" s="352"/>
      <c r="F790" s="352"/>
      <c r="G790" s="352"/>
      <c r="H790" s="352"/>
      <c r="I790" s="352"/>
      <c r="J790" s="352"/>
      <c r="K790" s="353"/>
      <c r="L790" s="354"/>
      <c r="M790" s="354"/>
      <c r="N790" s="355"/>
    </row>
    <row r="791" spans="1:14" ht="21.75" customHeight="1" x14ac:dyDescent="0.55000000000000004">
      <c r="A791" s="349"/>
      <c r="B791" s="349"/>
      <c r="C791" s="349"/>
      <c r="D791" s="349"/>
      <c r="E791" s="352"/>
      <c r="F791" s="352"/>
      <c r="G791" s="352"/>
      <c r="H791" s="352"/>
      <c r="I791" s="352"/>
      <c r="J791" s="352"/>
      <c r="K791" s="353"/>
      <c r="L791" s="354"/>
      <c r="M791" s="354"/>
      <c r="N791" s="355"/>
    </row>
    <row r="792" spans="1:14" ht="21.75" customHeight="1" x14ac:dyDescent="0.55000000000000004">
      <c r="A792" s="349"/>
      <c r="B792" s="349"/>
      <c r="C792" s="349"/>
      <c r="D792" s="349"/>
      <c r="E792" s="352"/>
      <c r="F792" s="352"/>
      <c r="G792" s="352"/>
      <c r="H792" s="352"/>
      <c r="I792" s="352"/>
      <c r="J792" s="352"/>
      <c r="K792" s="353"/>
      <c r="L792" s="354"/>
      <c r="M792" s="354"/>
      <c r="N792" s="355"/>
    </row>
    <row r="793" spans="1:14" ht="21.75" customHeight="1" x14ac:dyDescent="0.55000000000000004">
      <c r="A793" s="349"/>
      <c r="B793" s="349"/>
      <c r="C793" s="349"/>
      <c r="D793" s="349"/>
      <c r="E793" s="352"/>
      <c r="F793" s="352"/>
      <c r="G793" s="352"/>
      <c r="H793" s="352"/>
      <c r="I793" s="352"/>
      <c r="J793" s="352"/>
      <c r="K793" s="353"/>
      <c r="L793" s="354"/>
      <c r="M793" s="354"/>
      <c r="N793" s="355"/>
    </row>
    <row r="794" spans="1:14" ht="21.75" customHeight="1" x14ac:dyDescent="0.55000000000000004">
      <c r="A794" s="349"/>
      <c r="B794" s="349"/>
      <c r="C794" s="349"/>
      <c r="D794" s="349"/>
      <c r="E794" s="352"/>
      <c r="F794" s="352"/>
      <c r="G794" s="352"/>
      <c r="H794" s="352"/>
      <c r="I794" s="352"/>
      <c r="J794" s="352"/>
      <c r="K794" s="353"/>
      <c r="L794" s="354"/>
      <c r="M794" s="354"/>
      <c r="N794" s="355"/>
    </row>
    <row r="795" spans="1:14" ht="21.75" customHeight="1" x14ac:dyDescent="0.55000000000000004">
      <c r="A795" s="349"/>
      <c r="B795" s="349"/>
      <c r="C795" s="349"/>
      <c r="D795" s="349"/>
      <c r="E795" s="352"/>
      <c r="F795" s="352"/>
      <c r="G795" s="352"/>
      <c r="H795" s="352"/>
      <c r="I795" s="352"/>
      <c r="J795" s="352"/>
      <c r="K795" s="353"/>
      <c r="L795" s="354"/>
      <c r="M795" s="354"/>
      <c r="N795" s="355"/>
    </row>
    <row r="796" spans="1:14" ht="21.75" customHeight="1" x14ac:dyDescent="0.55000000000000004">
      <c r="A796" s="349"/>
      <c r="B796" s="349"/>
      <c r="C796" s="349"/>
      <c r="D796" s="349"/>
      <c r="E796" s="352"/>
      <c r="F796" s="352"/>
      <c r="G796" s="352"/>
      <c r="H796" s="352"/>
      <c r="I796" s="352"/>
      <c r="J796" s="352"/>
      <c r="K796" s="353"/>
      <c r="L796" s="354"/>
      <c r="M796" s="354"/>
      <c r="N796" s="355"/>
    </row>
    <row r="797" spans="1:14" ht="21.75" customHeight="1" x14ac:dyDescent="0.55000000000000004">
      <c r="A797" s="349"/>
      <c r="B797" s="349"/>
      <c r="C797" s="349"/>
      <c r="D797" s="349"/>
      <c r="E797" s="352"/>
      <c r="F797" s="352"/>
      <c r="G797" s="352"/>
      <c r="H797" s="352"/>
      <c r="I797" s="352"/>
      <c r="J797" s="352"/>
      <c r="K797" s="353"/>
      <c r="L797" s="354"/>
      <c r="M797" s="354"/>
      <c r="N797" s="355"/>
    </row>
    <row r="798" spans="1:14" ht="21.75" customHeight="1" x14ac:dyDescent="0.55000000000000004">
      <c r="A798" s="349"/>
      <c r="B798" s="349"/>
      <c r="C798" s="349"/>
      <c r="D798" s="349"/>
      <c r="E798" s="352"/>
      <c r="F798" s="352"/>
      <c r="G798" s="352"/>
      <c r="H798" s="352"/>
      <c r="I798" s="352"/>
      <c r="J798" s="352"/>
      <c r="K798" s="353"/>
      <c r="L798" s="354"/>
      <c r="M798" s="354"/>
      <c r="N798" s="355"/>
    </row>
    <row r="799" spans="1:14" ht="21.75" customHeight="1" x14ac:dyDescent="0.55000000000000004">
      <c r="A799" s="349"/>
      <c r="B799" s="349"/>
      <c r="C799" s="349"/>
      <c r="D799" s="349"/>
      <c r="E799" s="352"/>
      <c r="F799" s="352"/>
      <c r="G799" s="352"/>
      <c r="H799" s="352"/>
      <c r="I799" s="352"/>
      <c r="J799" s="352"/>
      <c r="K799" s="353"/>
      <c r="L799" s="354"/>
      <c r="M799" s="354"/>
      <c r="N799" s="355"/>
    </row>
    <row r="800" spans="1:14" ht="21.75" customHeight="1" x14ac:dyDescent="0.55000000000000004">
      <c r="A800" s="349"/>
      <c r="B800" s="349"/>
      <c r="C800" s="349"/>
      <c r="D800" s="349"/>
      <c r="E800" s="352"/>
      <c r="F800" s="352"/>
      <c r="G800" s="352"/>
      <c r="H800" s="352"/>
      <c r="I800" s="352"/>
      <c r="J800" s="352"/>
      <c r="K800" s="353"/>
      <c r="L800" s="354"/>
      <c r="M800" s="354"/>
      <c r="N800" s="355"/>
    </row>
    <row r="801" spans="1:14" ht="21.75" customHeight="1" x14ac:dyDescent="0.55000000000000004">
      <c r="A801" s="349"/>
      <c r="B801" s="349"/>
      <c r="C801" s="349"/>
      <c r="D801" s="349"/>
      <c r="E801" s="352"/>
      <c r="F801" s="352"/>
      <c r="G801" s="352"/>
      <c r="H801" s="352"/>
      <c r="I801" s="352"/>
      <c r="J801" s="352"/>
      <c r="K801" s="353"/>
      <c r="L801" s="354"/>
      <c r="M801" s="354"/>
      <c r="N801" s="355"/>
    </row>
    <row r="802" spans="1:14" ht="21.75" customHeight="1" x14ac:dyDescent="0.55000000000000004">
      <c r="A802" s="349"/>
      <c r="B802" s="349"/>
      <c r="C802" s="349"/>
      <c r="D802" s="349"/>
      <c r="E802" s="352"/>
      <c r="F802" s="352"/>
      <c r="G802" s="352"/>
      <c r="H802" s="352"/>
      <c r="I802" s="352"/>
      <c r="J802" s="352"/>
      <c r="K802" s="353"/>
      <c r="L802" s="354"/>
      <c r="M802" s="354"/>
      <c r="N802" s="355"/>
    </row>
    <row r="803" spans="1:14" ht="21.75" customHeight="1" x14ac:dyDescent="0.55000000000000004">
      <c r="A803" s="349"/>
      <c r="B803" s="349"/>
      <c r="C803" s="349"/>
      <c r="D803" s="349"/>
      <c r="E803" s="352"/>
      <c r="F803" s="352"/>
      <c r="G803" s="352"/>
      <c r="H803" s="352"/>
      <c r="I803" s="352"/>
      <c r="J803" s="352"/>
      <c r="K803" s="353"/>
      <c r="L803" s="354"/>
      <c r="M803" s="354"/>
      <c r="N803" s="355"/>
    </row>
    <row r="804" spans="1:14" ht="21.75" customHeight="1" x14ac:dyDescent="0.55000000000000004">
      <c r="A804" s="349"/>
      <c r="B804" s="349"/>
      <c r="C804" s="349"/>
      <c r="D804" s="349"/>
      <c r="E804" s="352"/>
      <c r="F804" s="352"/>
      <c r="G804" s="352"/>
      <c r="H804" s="352"/>
      <c r="I804" s="352"/>
      <c r="J804" s="352"/>
      <c r="K804" s="353"/>
      <c r="L804" s="354"/>
      <c r="M804" s="354"/>
      <c r="N804" s="355"/>
    </row>
    <row r="805" spans="1:14" ht="21.75" customHeight="1" x14ac:dyDescent="0.55000000000000004">
      <c r="A805" s="349"/>
      <c r="B805" s="349"/>
      <c r="C805" s="349"/>
      <c r="D805" s="349"/>
      <c r="E805" s="352"/>
      <c r="F805" s="352"/>
      <c r="G805" s="352"/>
      <c r="H805" s="352"/>
      <c r="I805" s="352"/>
      <c r="J805" s="352"/>
      <c r="K805" s="353"/>
      <c r="L805" s="354"/>
      <c r="M805" s="354"/>
      <c r="N805" s="355"/>
    </row>
    <row r="806" spans="1:14" ht="21.75" customHeight="1" x14ac:dyDescent="0.55000000000000004">
      <c r="A806" s="349"/>
      <c r="B806" s="349"/>
      <c r="C806" s="349"/>
      <c r="D806" s="349"/>
      <c r="E806" s="352"/>
      <c r="F806" s="352"/>
      <c r="G806" s="352"/>
      <c r="H806" s="352"/>
      <c r="I806" s="352"/>
      <c r="J806" s="352"/>
      <c r="K806" s="353"/>
      <c r="L806" s="354"/>
      <c r="M806" s="354"/>
      <c r="N806" s="355"/>
    </row>
    <row r="807" spans="1:14" ht="21.75" customHeight="1" x14ac:dyDescent="0.55000000000000004">
      <c r="A807" s="349"/>
      <c r="B807" s="349"/>
      <c r="C807" s="349"/>
      <c r="D807" s="349"/>
      <c r="E807" s="352"/>
      <c r="F807" s="352"/>
      <c r="G807" s="352"/>
      <c r="H807" s="352"/>
      <c r="I807" s="352"/>
      <c r="J807" s="352"/>
      <c r="K807" s="353"/>
      <c r="L807" s="354"/>
      <c r="M807" s="354"/>
      <c r="N807" s="355"/>
    </row>
    <row r="808" spans="1:14" ht="21.75" customHeight="1" x14ac:dyDescent="0.55000000000000004">
      <c r="A808" s="349"/>
      <c r="B808" s="349"/>
      <c r="C808" s="349"/>
      <c r="D808" s="349"/>
      <c r="E808" s="352"/>
      <c r="F808" s="352"/>
      <c r="G808" s="352"/>
      <c r="H808" s="352"/>
      <c r="I808" s="352"/>
      <c r="J808" s="352"/>
      <c r="K808" s="353"/>
      <c r="L808" s="354"/>
      <c r="M808" s="354"/>
      <c r="N808" s="355"/>
    </row>
    <row r="809" spans="1:14" ht="21.75" customHeight="1" x14ac:dyDescent="0.55000000000000004">
      <c r="A809" s="349"/>
      <c r="B809" s="349"/>
      <c r="C809" s="349"/>
      <c r="D809" s="349"/>
      <c r="E809" s="352"/>
      <c r="F809" s="352"/>
      <c r="G809" s="352"/>
      <c r="H809" s="352"/>
      <c r="I809" s="352"/>
      <c r="J809" s="352"/>
      <c r="K809" s="353"/>
      <c r="L809" s="354"/>
      <c r="M809" s="354"/>
      <c r="N809" s="355"/>
    </row>
    <row r="810" spans="1:14" ht="21.75" customHeight="1" x14ac:dyDescent="0.55000000000000004">
      <c r="A810" s="349"/>
      <c r="B810" s="349"/>
      <c r="C810" s="349"/>
      <c r="D810" s="349"/>
      <c r="E810" s="352"/>
      <c r="F810" s="352"/>
      <c r="G810" s="352"/>
      <c r="H810" s="352"/>
      <c r="I810" s="352"/>
      <c r="J810" s="352"/>
      <c r="K810" s="353"/>
      <c r="L810" s="354"/>
      <c r="M810" s="354"/>
      <c r="N810" s="355"/>
    </row>
    <row r="811" spans="1:14" ht="21.75" customHeight="1" x14ac:dyDescent="0.55000000000000004">
      <c r="A811" s="349"/>
      <c r="B811" s="349"/>
      <c r="C811" s="349"/>
      <c r="D811" s="349"/>
      <c r="E811" s="352"/>
      <c r="F811" s="352"/>
      <c r="G811" s="352"/>
      <c r="H811" s="352"/>
      <c r="I811" s="352"/>
      <c r="J811" s="352"/>
      <c r="K811" s="353"/>
      <c r="L811" s="354"/>
      <c r="M811" s="354"/>
      <c r="N811" s="355"/>
    </row>
    <row r="812" spans="1:14" ht="21.75" customHeight="1" x14ac:dyDescent="0.55000000000000004">
      <c r="A812" s="349"/>
      <c r="B812" s="349"/>
      <c r="C812" s="349"/>
      <c r="D812" s="349"/>
      <c r="E812" s="352"/>
      <c r="F812" s="352"/>
      <c r="G812" s="352"/>
      <c r="H812" s="352"/>
      <c r="I812" s="352"/>
      <c r="J812" s="352"/>
      <c r="K812" s="353"/>
      <c r="L812" s="354"/>
      <c r="M812" s="354"/>
      <c r="N812" s="355"/>
    </row>
    <row r="813" spans="1:14" ht="21.75" customHeight="1" x14ac:dyDescent="0.55000000000000004">
      <c r="A813" s="349"/>
      <c r="B813" s="349"/>
      <c r="C813" s="349"/>
      <c r="D813" s="349"/>
      <c r="E813" s="352"/>
      <c r="F813" s="352"/>
      <c r="G813" s="352"/>
      <c r="H813" s="352"/>
      <c r="I813" s="352"/>
      <c r="J813" s="352"/>
      <c r="K813" s="353"/>
      <c r="L813" s="354"/>
      <c r="M813" s="354"/>
      <c r="N813" s="355"/>
    </row>
    <row r="814" spans="1:14" ht="21.75" customHeight="1" x14ac:dyDescent="0.55000000000000004">
      <c r="A814" s="349"/>
      <c r="B814" s="349"/>
      <c r="C814" s="349"/>
      <c r="D814" s="349"/>
      <c r="E814" s="352"/>
      <c r="F814" s="352"/>
      <c r="G814" s="352"/>
      <c r="H814" s="352"/>
      <c r="I814" s="352"/>
      <c r="J814" s="352"/>
      <c r="K814" s="353"/>
      <c r="L814" s="354"/>
      <c r="M814" s="354"/>
      <c r="N814" s="355"/>
    </row>
    <row r="815" spans="1:14" ht="21.75" customHeight="1" x14ac:dyDescent="0.55000000000000004">
      <c r="A815" s="349"/>
      <c r="B815" s="349"/>
      <c r="C815" s="349"/>
      <c r="D815" s="349"/>
      <c r="E815" s="352"/>
      <c r="F815" s="352"/>
      <c r="G815" s="352"/>
      <c r="H815" s="352"/>
      <c r="I815" s="352"/>
      <c r="J815" s="352"/>
      <c r="K815" s="353"/>
      <c r="L815" s="354"/>
      <c r="M815" s="354"/>
      <c r="N815" s="355"/>
    </row>
    <row r="816" spans="1:14" ht="21.75" customHeight="1" x14ac:dyDescent="0.55000000000000004">
      <c r="A816" s="349"/>
      <c r="B816" s="349"/>
      <c r="C816" s="349"/>
      <c r="D816" s="349"/>
      <c r="E816" s="352"/>
      <c r="F816" s="352"/>
      <c r="G816" s="352"/>
      <c r="H816" s="352"/>
      <c r="I816" s="352"/>
      <c r="J816" s="352"/>
      <c r="K816" s="353"/>
      <c r="L816" s="354"/>
      <c r="M816" s="354"/>
      <c r="N816" s="355"/>
    </row>
    <row r="817" spans="1:14" ht="21.75" customHeight="1" x14ac:dyDescent="0.55000000000000004">
      <c r="A817" s="349"/>
      <c r="B817" s="349"/>
      <c r="C817" s="349"/>
      <c r="D817" s="349"/>
      <c r="E817" s="352"/>
      <c r="F817" s="352"/>
      <c r="G817" s="352"/>
      <c r="H817" s="352"/>
      <c r="I817" s="352"/>
      <c r="J817" s="352"/>
      <c r="K817" s="353"/>
      <c r="L817" s="354"/>
      <c r="M817" s="354"/>
      <c r="N817" s="355"/>
    </row>
    <row r="818" spans="1:14" ht="21.75" customHeight="1" x14ac:dyDescent="0.55000000000000004">
      <c r="A818" s="349"/>
      <c r="B818" s="349"/>
      <c r="C818" s="349"/>
      <c r="D818" s="349"/>
      <c r="E818" s="352"/>
      <c r="F818" s="352"/>
      <c r="G818" s="352"/>
      <c r="H818" s="352"/>
      <c r="I818" s="352"/>
      <c r="J818" s="352"/>
      <c r="K818" s="353"/>
      <c r="L818" s="354"/>
      <c r="M818" s="354"/>
      <c r="N818" s="355"/>
    </row>
    <row r="819" spans="1:14" ht="21.75" customHeight="1" x14ac:dyDescent="0.55000000000000004">
      <c r="A819" s="349"/>
      <c r="B819" s="349"/>
      <c r="C819" s="349"/>
      <c r="D819" s="349"/>
      <c r="E819" s="352"/>
      <c r="F819" s="352"/>
      <c r="G819" s="352"/>
      <c r="H819" s="352"/>
      <c r="I819" s="352"/>
      <c r="J819" s="352"/>
      <c r="K819" s="353"/>
      <c r="L819" s="354"/>
      <c r="M819" s="354"/>
      <c r="N819" s="355"/>
    </row>
    <row r="820" spans="1:14" ht="21.75" customHeight="1" x14ac:dyDescent="0.55000000000000004">
      <c r="A820" s="349"/>
      <c r="B820" s="349"/>
      <c r="C820" s="349"/>
      <c r="D820" s="349"/>
      <c r="E820" s="352"/>
      <c r="F820" s="352"/>
      <c r="G820" s="352"/>
      <c r="H820" s="352"/>
      <c r="I820" s="352"/>
      <c r="J820" s="352"/>
      <c r="K820" s="353"/>
      <c r="L820" s="354"/>
      <c r="M820" s="354"/>
      <c r="N820" s="355"/>
    </row>
    <row r="821" spans="1:14" ht="21.75" customHeight="1" x14ac:dyDescent="0.55000000000000004">
      <c r="A821" s="349"/>
      <c r="B821" s="349"/>
      <c r="C821" s="349"/>
      <c r="D821" s="349"/>
      <c r="E821" s="352"/>
      <c r="F821" s="352"/>
      <c r="G821" s="352"/>
      <c r="H821" s="352"/>
      <c r="I821" s="352"/>
      <c r="J821" s="352"/>
      <c r="K821" s="353"/>
      <c r="L821" s="354"/>
      <c r="M821" s="354"/>
      <c r="N821" s="355"/>
    </row>
    <row r="822" spans="1:14" ht="21.75" customHeight="1" x14ac:dyDescent="0.55000000000000004">
      <c r="A822" s="349"/>
      <c r="B822" s="349"/>
      <c r="C822" s="349"/>
      <c r="D822" s="349"/>
      <c r="E822" s="352"/>
      <c r="F822" s="352"/>
      <c r="G822" s="352"/>
      <c r="H822" s="352"/>
      <c r="I822" s="352"/>
      <c r="J822" s="352"/>
      <c r="K822" s="353"/>
      <c r="L822" s="354"/>
      <c r="M822" s="354"/>
      <c r="N822" s="355"/>
    </row>
    <row r="823" spans="1:14" ht="21.75" customHeight="1" x14ac:dyDescent="0.55000000000000004">
      <c r="A823" s="349"/>
      <c r="B823" s="349"/>
      <c r="C823" s="349"/>
      <c r="D823" s="349"/>
      <c r="E823" s="352"/>
      <c r="F823" s="352"/>
      <c r="G823" s="352"/>
      <c r="H823" s="352"/>
      <c r="I823" s="352"/>
      <c r="J823" s="352"/>
      <c r="K823" s="353"/>
      <c r="L823" s="354"/>
      <c r="M823" s="354"/>
      <c r="N823" s="355"/>
    </row>
    <row r="824" spans="1:14" ht="21.75" customHeight="1" x14ac:dyDescent="0.55000000000000004">
      <c r="A824" s="349"/>
      <c r="B824" s="349"/>
      <c r="C824" s="349"/>
      <c r="D824" s="349"/>
      <c r="E824" s="352"/>
      <c r="F824" s="352"/>
      <c r="G824" s="352"/>
      <c r="H824" s="352"/>
      <c r="I824" s="352"/>
      <c r="J824" s="352"/>
      <c r="K824" s="353"/>
      <c r="L824" s="354"/>
      <c r="M824" s="354"/>
      <c r="N824" s="355"/>
    </row>
    <row r="825" spans="1:14" ht="21.75" customHeight="1" x14ac:dyDescent="0.55000000000000004">
      <c r="A825" s="349"/>
      <c r="B825" s="349"/>
      <c r="C825" s="349"/>
      <c r="D825" s="349"/>
      <c r="E825" s="352"/>
      <c r="F825" s="352"/>
      <c r="G825" s="352"/>
      <c r="H825" s="352"/>
      <c r="I825" s="352"/>
      <c r="J825" s="352"/>
      <c r="K825" s="353"/>
      <c r="L825" s="354"/>
      <c r="M825" s="354"/>
      <c r="N825" s="355"/>
    </row>
    <row r="826" spans="1:14" ht="21.75" customHeight="1" x14ac:dyDescent="0.55000000000000004">
      <c r="A826" s="349"/>
      <c r="B826" s="349"/>
      <c r="C826" s="349"/>
      <c r="D826" s="349"/>
      <c r="E826" s="352"/>
      <c r="F826" s="352"/>
      <c r="G826" s="352"/>
      <c r="H826" s="352"/>
      <c r="I826" s="352"/>
      <c r="J826" s="352"/>
      <c r="K826" s="353"/>
      <c r="L826" s="354"/>
      <c r="M826" s="354"/>
      <c r="N826" s="355"/>
    </row>
    <row r="827" spans="1:14" ht="21.75" customHeight="1" x14ac:dyDescent="0.55000000000000004">
      <c r="A827" s="349"/>
      <c r="B827" s="349"/>
      <c r="C827" s="349"/>
      <c r="D827" s="349"/>
      <c r="E827" s="352"/>
      <c r="F827" s="352"/>
      <c r="G827" s="352"/>
      <c r="H827" s="352"/>
      <c r="I827" s="352"/>
      <c r="J827" s="352"/>
      <c r="K827" s="353"/>
      <c r="L827" s="354"/>
      <c r="M827" s="354"/>
      <c r="N827" s="355"/>
    </row>
    <row r="828" spans="1:14" ht="21.75" customHeight="1" x14ac:dyDescent="0.55000000000000004">
      <c r="A828" s="349"/>
      <c r="B828" s="349"/>
      <c r="C828" s="349"/>
      <c r="D828" s="349"/>
      <c r="E828" s="352"/>
      <c r="F828" s="352"/>
      <c r="G828" s="352"/>
      <c r="H828" s="352"/>
      <c r="I828" s="352"/>
      <c r="J828" s="352"/>
      <c r="K828" s="353"/>
      <c r="L828" s="354"/>
      <c r="M828" s="354"/>
      <c r="N828" s="355"/>
    </row>
    <row r="829" spans="1:14" ht="21.75" customHeight="1" x14ac:dyDescent="0.55000000000000004">
      <c r="A829" s="349"/>
      <c r="B829" s="349"/>
      <c r="C829" s="349"/>
      <c r="D829" s="349"/>
      <c r="E829" s="352"/>
      <c r="F829" s="352"/>
      <c r="G829" s="352"/>
      <c r="H829" s="352"/>
      <c r="I829" s="352"/>
      <c r="J829" s="352"/>
      <c r="K829" s="353"/>
      <c r="L829" s="354"/>
      <c r="M829" s="354"/>
      <c r="N829" s="355"/>
    </row>
    <row r="830" spans="1:14" ht="21.75" customHeight="1" x14ac:dyDescent="0.55000000000000004">
      <c r="A830" s="349"/>
      <c r="B830" s="349"/>
      <c r="C830" s="349"/>
      <c r="D830" s="349"/>
      <c r="E830" s="352"/>
      <c r="F830" s="352"/>
      <c r="G830" s="352"/>
      <c r="H830" s="352"/>
      <c r="I830" s="352"/>
      <c r="J830" s="352"/>
      <c r="K830" s="353"/>
      <c r="L830" s="354"/>
      <c r="M830" s="354"/>
      <c r="N830" s="355"/>
    </row>
    <row r="831" spans="1:14" ht="21.75" customHeight="1" x14ac:dyDescent="0.55000000000000004">
      <c r="A831" s="349"/>
      <c r="B831" s="349"/>
      <c r="C831" s="349"/>
      <c r="D831" s="349"/>
      <c r="E831" s="352"/>
      <c r="F831" s="352"/>
      <c r="G831" s="352"/>
      <c r="H831" s="352"/>
      <c r="I831" s="352"/>
      <c r="J831" s="352"/>
      <c r="K831" s="353"/>
      <c r="L831" s="354"/>
      <c r="M831" s="354"/>
      <c r="N831" s="355"/>
    </row>
    <row r="832" spans="1:14" ht="21.75" customHeight="1" x14ac:dyDescent="0.55000000000000004">
      <c r="A832" s="349"/>
      <c r="B832" s="349"/>
      <c r="C832" s="349"/>
      <c r="D832" s="349"/>
      <c r="E832" s="352"/>
      <c r="F832" s="352"/>
      <c r="G832" s="352"/>
      <c r="H832" s="352"/>
      <c r="I832" s="352"/>
      <c r="J832" s="352"/>
      <c r="K832" s="353"/>
      <c r="L832" s="354"/>
      <c r="M832" s="354"/>
      <c r="N832" s="355"/>
    </row>
    <row r="833" spans="1:14" ht="21.75" customHeight="1" x14ac:dyDescent="0.55000000000000004">
      <c r="A833" s="349"/>
      <c r="B833" s="349"/>
      <c r="C833" s="349"/>
      <c r="D833" s="349"/>
      <c r="E833" s="352"/>
      <c r="F833" s="352"/>
      <c r="G833" s="352"/>
      <c r="H833" s="352"/>
      <c r="I833" s="352"/>
      <c r="J833" s="352"/>
      <c r="K833" s="353"/>
      <c r="L833" s="354"/>
      <c r="M833" s="354"/>
      <c r="N833" s="355"/>
    </row>
    <row r="834" spans="1:14" ht="21.75" customHeight="1" x14ac:dyDescent="0.55000000000000004">
      <c r="A834" s="349"/>
      <c r="B834" s="349"/>
      <c r="C834" s="349"/>
      <c r="D834" s="349"/>
      <c r="E834" s="352"/>
      <c r="F834" s="352"/>
      <c r="G834" s="352"/>
      <c r="H834" s="352"/>
      <c r="I834" s="352"/>
      <c r="J834" s="352"/>
      <c r="K834" s="353"/>
      <c r="L834" s="354"/>
      <c r="M834" s="354"/>
      <c r="N834" s="355"/>
    </row>
    <row r="835" spans="1:14" ht="21.75" customHeight="1" x14ac:dyDescent="0.55000000000000004">
      <c r="A835" s="349"/>
      <c r="B835" s="349"/>
      <c r="C835" s="349"/>
      <c r="D835" s="349"/>
      <c r="E835" s="352"/>
      <c r="F835" s="352"/>
      <c r="G835" s="352"/>
      <c r="H835" s="352"/>
      <c r="I835" s="352"/>
      <c r="J835" s="352"/>
      <c r="K835" s="353"/>
      <c r="L835" s="354"/>
      <c r="M835" s="354"/>
      <c r="N835" s="355"/>
    </row>
    <row r="836" spans="1:14" ht="21.75" customHeight="1" x14ac:dyDescent="0.55000000000000004">
      <c r="A836" s="349"/>
      <c r="B836" s="349"/>
      <c r="C836" s="349"/>
      <c r="D836" s="349"/>
      <c r="E836" s="352"/>
      <c r="F836" s="352"/>
      <c r="G836" s="352"/>
      <c r="H836" s="352"/>
      <c r="I836" s="352"/>
      <c r="J836" s="352"/>
      <c r="K836" s="353"/>
      <c r="L836" s="354"/>
      <c r="M836" s="354"/>
      <c r="N836" s="355"/>
    </row>
    <row r="837" spans="1:14" ht="21.75" customHeight="1" x14ac:dyDescent="0.55000000000000004">
      <c r="A837" s="349"/>
      <c r="B837" s="349"/>
      <c r="C837" s="349"/>
      <c r="D837" s="349"/>
      <c r="E837" s="352"/>
      <c r="F837" s="352"/>
      <c r="G837" s="352"/>
      <c r="H837" s="352"/>
      <c r="I837" s="352"/>
      <c r="J837" s="352"/>
      <c r="K837" s="353"/>
      <c r="L837" s="354"/>
      <c r="M837" s="354"/>
      <c r="N837" s="355"/>
    </row>
    <row r="838" spans="1:14" ht="21.75" customHeight="1" x14ac:dyDescent="0.55000000000000004">
      <c r="A838" s="349"/>
      <c r="B838" s="349"/>
      <c r="C838" s="349"/>
      <c r="D838" s="349"/>
      <c r="E838" s="352"/>
      <c r="F838" s="352"/>
      <c r="G838" s="352"/>
      <c r="H838" s="352"/>
      <c r="I838" s="352"/>
      <c r="J838" s="352"/>
      <c r="K838" s="353"/>
      <c r="L838" s="354"/>
      <c r="M838" s="354"/>
      <c r="N838" s="355"/>
    </row>
    <row r="839" spans="1:14" ht="21.75" customHeight="1" x14ac:dyDescent="0.55000000000000004">
      <c r="A839" s="349"/>
      <c r="B839" s="349"/>
      <c r="C839" s="349"/>
      <c r="D839" s="349"/>
      <c r="E839" s="352"/>
      <c r="F839" s="352"/>
      <c r="G839" s="352"/>
      <c r="H839" s="352"/>
      <c r="I839" s="352"/>
      <c r="J839" s="352"/>
      <c r="K839" s="353"/>
      <c r="L839" s="354"/>
      <c r="M839" s="354"/>
      <c r="N839" s="355"/>
    </row>
    <row r="840" spans="1:14" ht="21.75" customHeight="1" x14ac:dyDescent="0.55000000000000004">
      <c r="A840" s="349"/>
      <c r="B840" s="349"/>
      <c r="C840" s="349"/>
      <c r="D840" s="349"/>
      <c r="E840" s="352"/>
      <c r="F840" s="352"/>
      <c r="G840" s="352"/>
      <c r="H840" s="352"/>
      <c r="I840" s="352"/>
      <c r="J840" s="352"/>
      <c r="K840" s="353"/>
      <c r="L840" s="354"/>
      <c r="M840" s="354"/>
      <c r="N840" s="355"/>
    </row>
    <row r="841" spans="1:14" ht="21.75" customHeight="1" x14ac:dyDescent="0.55000000000000004">
      <c r="A841" s="349"/>
      <c r="B841" s="349"/>
      <c r="C841" s="349"/>
      <c r="D841" s="349"/>
      <c r="E841" s="352"/>
      <c r="F841" s="352"/>
      <c r="G841" s="352"/>
      <c r="H841" s="352"/>
      <c r="I841" s="352"/>
      <c r="J841" s="352"/>
      <c r="K841" s="353"/>
      <c r="L841" s="354"/>
      <c r="M841" s="354"/>
      <c r="N841" s="355"/>
    </row>
    <row r="842" spans="1:14" ht="21.75" customHeight="1" x14ac:dyDescent="0.55000000000000004">
      <c r="A842" s="349"/>
      <c r="B842" s="349"/>
      <c r="C842" s="349"/>
      <c r="D842" s="349"/>
      <c r="E842" s="352"/>
      <c r="F842" s="352"/>
      <c r="G842" s="352"/>
      <c r="H842" s="352"/>
      <c r="I842" s="352"/>
      <c r="J842" s="352"/>
      <c r="K842" s="353"/>
      <c r="L842" s="354"/>
      <c r="M842" s="354"/>
      <c r="N842" s="355"/>
    </row>
    <row r="843" spans="1:14" ht="21.75" customHeight="1" x14ac:dyDescent="0.55000000000000004">
      <c r="A843" s="349"/>
      <c r="B843" s="349"/>
      <c r="C843" s="349"/>
      <c r="D843" s="349"/>
      <c r="E843" s="352"/>
      <c r="F843" s="352"/>
      <c r="G843" s="352"/>
      <c r="H843" s="352"/>
      <c r="I843" s="352"/>
      <c r="J843" s="352"/>
      <c r="K843" s="353"/>
      <c r="L843" s="354"/>
      <c r="M843" s="354"/>
      <c r="N843" s="355"/>
    </row>
    <row r="844" spans="1:14" ht="21.75" customHeight="1" x14ac:dyDescent="0.55000000000000004">
      <c r="A844" s="349"/>
      <c r="B844" s="349"/>
      <c r="C844" s="349"/>
      <c r="D844" s="349"/>
      <c r="E844" s="352"/>
      <c r="F844" s="352"/>
      <c r="G844" s="352"/>
      <c r="H844" s="352"/>
      <c r="I844" s="352"/>
      <c r="J844" s="352"/>
      <c r="K844" s="353"/>
      <c r="L844" s="354"/>
      <c r="M844" s="354"/>
      <c r="N844" s="355"/>
    </row>
    <row r="845" spans="1:14" ht="21.75" customHeight="1" x14ac:dyDescent="0.55000000000000004">
      <c r="A845" s="349"/>
      <c r="B845" s="349"/>
      <c r="C845" s="349"/>
      <c r="D845" s="349"/>
      <c r="E845" s="352"/>
      <c r="F845" s="352"/>
      <c r="G845" s="352"/>
      <c r="H845" s="352"/>
      <c r="I845" s="352"/>
      <c r="J845" s="352"/>
      <c r="K845" s="353"/>
      <c r="L845" s="354"/>
      <c r="M845" s="354"/>
      <c r="N845" s="355"/>
    </row>
    <row r="846" spans="1:14" ht="21.75" customHeight="1" x14ac:dyDescent="0.55000000000000004">
      <c r="A846" s="349"/>
      <c r="B846" s="349"/>
      <c r="C846" s="349"/>
      <c r="D846" s="349"/>
      <c r="E846" s="352"/>
      <c r="F846" s="352"/>
      <c r="G846" s="352"/>
      <c r="H846" s="352"/>
      <c r="I846" s="352"/>
      <c r="J846" s="352"/>
      <c r="K846" s="353"/>
      <c r="L846" s="354"/>
      <c r="M846" s="354"/>
      <c r="N846" s="355"/>
    </row>
    <row r="847" spans="1:14" ht="21.75" customHeight="1" x14ac:dyDescent="0.55000000000000004">
      <c r="A847" s="349"/>
      <c r="B847" s="349"/>
      <c r="C847" s="349"/>
      <c r="D847" s="349"/>
      <c r="E847" s="352"/>
      <c r="F847" s="352"/>
      <c r="G847" s="352"/>
      <c r="H847" s="352"/>
      <c r="I847" s="352"/>
      <c r="J847" s="352"/>
      <c r="K847" s="353"/>
      <c r="L847" s="354"/>
      <c r="M847" s="354"/>
      <c r="N847" s="355"/>
    </row>
    <row r="848" spans="1:14" ht="21.75" customHeight="1" x14ac:dyDescent="0.55000000000000004">
      <c r="A848" s="349"/>
      <c r="B848" s="349"/>
      <c r="C848" s="349"/>
      <c r="D848" s="349"/>
      <c r="E848" s="352"/>
      <c r="F848" s="352"/>
      <c r="G848" s="352"/>
      <c r="H848" s="352"/>
      <c r="I848" s="352"/>
      <c r="J848" s="352"/>
      <c r="K848" s="353"/>
      <c r="L848" s="354"/>
      <c r="M848" s="354"/>
      <c r="N848" s="355"/>
    </row>
    <row r="849" spans="1:14" ht="21.75" customHeight="1" x14ac:dyDescent="0.55000000000000004">
      <c r="A849" s="349"/>
      <c r="B849" s="349"/>
      <c r="C849" s="349"/>
      <c r="D849" s="349"/>
      <c r="E849" s="352"/>
      <c r="F849" s="352"/>
      <c r="G849" s="352"/>
      <c r="H849" s="352"/>
      <c r="I849" s="352"/>
      <c r="J849" s="352"/>
      <c r="K849" s="353"/>
      <c r="L849" s="354"/>
      <c r="M849" s="354"/>
      <c r="N849" s="355"/>
    </row>
    <row r="850" spans="1:14" ht="21.75" customHeight="1" x14ac:dyDescent="0.55000000000000004">
      <c r="A850" s="349"/>
      <c r="B850" s="349"/>
      <c r="C850" s="349"/>
      <c r="D850" s="349"/>
      <c r="E850" s="352"/>
      <c r="F850" s="352"/>
      <c r="G850" s="352"/>
      <c r="H850" s="352"/>
      <c r="I850" s="352"/>
      <c r="J850" s="352"/>
      <c r="K850" s="353"/>
      <c r="L850" s="354"/>
      <c r="M850" s="354"/>
      <c r="N850" s="355"/>
    </row>
    <row r="851" spans="1:14" ht="21.75" customHeight="1" x14ac:dyDescent="0.55000000000000004">
      <c r="A851" s="349"/>
      <c r="B851" s="349"/>
      <c r="C851" s="349"/>
      <c r="D851" s="349"/>
      <c r="E851" s="352"/>
      <c r="F851" s="352"/>
      <c r="G851" s="352"/>
      <c r="H851" s="352"/>
      <c r="I851" s="352"/>
      <c r="J851" s="352"/>
      <c r="K851" s="353"/>
      <c r="L851" s="354"/>
      <c r="M851" s="354"/>
      <c r="N851" s="355"/>
    </row>
    <row r="852" spans="1:14" ht="21.75" customHeight="1" x14ac:dyDescent="0.55000000000000004">
      <c r="A852" s="349"/>
      <c r="B852" s="349"/>
      <c r="C852" s="349"/>
      <c r="D852" s="349"/>
      <c r="E852" s="352"/>
      <c r="F852" s="352"/>
      <c r="G852" s="352"/>
      <c r="H852" s="352"/>
      <c r="I852" s="352"/>
      <c r="J852" s="352"/>
      <c r="K852" s="353"/>
      <c r="L852" s="354"/>
      <c r="M852" s="354"/>
      <c r="N852" s="355"/>
    </row>
    <row r="853" spans="1:14" ht="21.75" customHeight="1" x14ac:dyDescent="0.55000000000000004">
      <c r="A853" s="349"/>
      <c r="B853" s="349"/>
      <c r="C853" s="349"/>
      <c r="D853" s="349"/>
      <c r="E853" s="352"/>
      <c r="F853" s="352"/>
      <c r="G853" s="352"/>
      <c r="H853" s="352"/>
      <c r="I853" s="352"/>
      <c r="J853" s="352"/>
      <c r="K853" s="353"/>
      <c r="L853" s="354"/>
      <c r="M853" s="354"/>
      <c r="N853" s="355"/>
    </row>
    <row r="854" spans="1:14" ht="21.75" customHeight="1" x14ac:dyDescent="0.55000000000000004">
      <c r="A854" s="349"/>
      <c r="B854" s="349"/>
      <c r="C854" s="349"/>
      <c r="D854" s="349"/>
      <c r="E854" s="352"/>
      <c r="F854" s="352"/>
      <c r="G854" s="352"/>
      <c r="H854" s="352"/>
      <c r="I854" s="352"/>
      <c r="J854" s="352"/>
      <c r="K854" s="353"/>
      <c r="L854" s="354"/>
      <c r="M854" s="354"/>
      <c r="N854" s="355"/>
    </row>
    <row r="855" spans="1:14" ht="21.75" customHeight="1" x14ac:dyDescent="0.55000000000000004">
      <c r="A855" s="349"/>
      <c r="B855" s="349"/>
      <c r="C855" s="349"/>
      <c r="D855" s="349"/>
      <c r="E855" s="352"/>
      <c r="F855" s="352"/>
      <c r="G855" s="352"/>
      <c r="H855" s="352"/>
      <c r="I855" s="352"/>
      <c r="J855" s="352"/>
      <c r="K855" s="353"/>
      <c r="L855" s="354"/>
      <c r="M855" s="354"/>
      <c r="N855" s="355"/>
    </row>
    <row r="856" spans="1:14" ht="21.75" customHeight="1" x14ac:dyDescent="0.55000000000000004">
      <c r="A856" s="349"/>
      <c r="B856" s="349"/>
      <c r="C856" s="349"/>
      <c r="D856" s="349"/>
      <c r="E856" s="352"/>
      <c r="F856" s="352"/>
      <c r="G856" s="352"/>
      <c r="H856" s="352"/>
      <c r="I856" s="352"/>
      <c r="J856" s="352"/>
      <c r="K856" s="353"/>
      <c r="L856" s="354"/>
      <c r="M856" s="354"/>
      <c r="N856" s="355"/>
    </row>
    <row r="857" spans="1:14" ht="21.75" customHeight="1" x14ac:dyDescent="0.55000000000000004">
      <c r="A857" s="349"/>
      <c r="B857" s="349"/>
      <c r="C857" s="349"/>
      <c r="D857" s="349"/>
      <c r="E857" s="352"/>
      <c r="F857" s="352"/>
      <c r="G857" s="352"/>
      <c r="H857" s="352"/>
      <c r="I857" s="352"/>
      <c r="J857" s="352"/>
      <c r="K857" s="353"/>
      <c r="L857" s="354"/>
      <c r="M857" s="354"/>
      <c r="N857" s="355"/>
    </row>
    <row r="858" spans="1:14" ht="21.75" customHeight="1" x14ac:dyDescent="0.55000000000000004">
      <c r="A858" s="349"/>
      <c r="B858" s="349"/>
      <c r="C858" s="349"/>
      <c r="D858" s="349"/>
      <c r="E858" s="352"/>
      <c r="F858" s="352"/>
      <c r="G858" s="352"/>
      <c r="H858" s="352"/>
      <c r="I858" s="352"/>
      <c r="J858" s="352"/>
      <c r="K858" s="353"/>
      <c r="L858" s="354"/>
      <c r="M858" s="354"/>
      <c r="N858" s="355"/>
    </row>
    <row r="859" spans="1:14" ht="21.75" customHeight="1" x14ac:dyDescent="0.55000000000000004">
      <c r="A859" s="349"/>
      <c r="B859" s="349"/>
      <c r="C859" s="349"/>
      <c r="D859" s="349"/>
      <c r="E859" s="352"/>
      <c r="F859" s="352"/>
      <c r="G859" s="352"/>
      <c r="H859" s="352"/>
      <c r="I859" s="352"/>
      <c r="J859" s="352"/>
      <c r="K859" s="353"/>
      <c r="L859" s="354"/>
      <c r="M859" s="354"/>
      <c r="N859" s="355"/>
    </row>
    <row r="860" spans="1:14" ht="21.75" customHeight="1" x14ac:dyDescent="0.55000000000000004">
      <c r="A860" s="349"/>
      <c r="B860" s="349"/>
      <c r="C860" s="349"/>
      <c r="D860" s="349"/>
      <c r="E860" s="352"/>
      <c r="F860" s="352"/>
      <c r="G860" s="352"/>
      <c r="H860" s="352"/>
      <c r="I860" s="352"/>
      <c r="J860" s="352"/>
      <c r="K860" s="353"/>
      <c r="L860" s="354"/>
      <c r="M860" s="354"/>
      <c r="N860" s="355"/>
    </row>
    <row r="861" spans="1:14" ht="21.75" customHeight="1" x14ac:dyDescent="0.55000000000000004">
      <c r="A861" s="349"/>
      <c r="B861" s="349"/>
      <c r="C861" s="349"/>
      <c r="D861" s="349"/>
      <c r="E861" s="352"/>
      <c r="F861" s="352"/>
      <c r="G861" s="352"/>
      <c r="H861" s="352"/>
      <c r="I861" s="352"/>
      <c r="J861" s="352"/>
      <c r="K861" s="353"/>
      <c r="L861" s="354"/>
      <c r="M861" s="354"/>
      <c r="N861" s="355"/>
    </row>
    <row r="862" spans="1:14" ht="21.75" customHeight="1" x14ac:dyDescent="0.55000000000000004">
      <c r="A862" s="349"/>
      <c r="B862" s="349"/>
      <c r="C862" s="349"/>
      <c r="D862" s="349"/>
      <c r="E862" s="352"/>
      <c r="F862" s="352"/>
      <c r="G862" s="352"/>
      <c r="H862" s="352"/>
      <c r="I862" s="352"/>
      <c r="J862" s="352"/>
      <c r="K862" s="353"/>
      <c r="L862" s="354"/>
      <c r="M862" s="354"/>
      <c r="N862" s="355"/>
    </row>
    <row r="863" spans="1:14" ht="21.75" customHeight="1" x14ac:dyDescent="0.55000000000000004">
      <c r="A863" s="349"/>
      <c r="B863" s="349"/>
      <c r="C863" s="349"/>
      <c r="D863" s="349"/>
      <c r="E863" s="352"/>
      <c r="F863" s="352"/>
      <c r="G863" s="352"/>
      <c r="H863" s="352"/>
      <c r="I863" s="352"/>
      <c r="J863" s="352"/>
      <c r="K863" s="353"/>
      <c r="L863" s="354"/>
      <c r="M863" s="354"/>
      <c r="N863" s="355"/>
    </row>
    <row r="864" spans="1:14" ht="21.75" customHeight="1" x14ac:dyDescent="0.55000000000000004">
      <c r="A864" s="349"/>
      <c r="B864" s="349"/>
      <c r="C864" s="349"/>
      <c r="D864" s="349"/>
      <c r="E864" s="352"/>
      <c r="F864" s="352"/>
      <c r="G864" s="352"/>
      <c r="H864" s="352"/>
      <c r="I864" s="352"/>
      <c r="J864" s="352"/>
      <c r="K864" s="353"/>
      <c r="L864" s="354"/>
      <c r="M864" s="354"/>
      <c r="N864" s="355"/>
    </row>
    <row r="865" spans="1:14" ht="21.75" customHeight="1" x14ac:dyDescent="0.55000000000000004">
      <c r="A865" s="349"/>
      <c r="B865" s="349"/>
      <c r="C865" s="349"/>
      <c r="D865" s="349"/>
      <c r="E865" s="352"/>
      <c r="F865" s="352"/>
      <c r="G865" s="352"/>
      <c r="H865" s="352"/>
      <c r="I865" s="352"/>
      <c r="J865" s="352"/>
      <c r="K865" s="353"/>
      <c r="L865" s="354"/>
      <c r="M865" s="354"/>
      <c r="N865" s="355"/>
    </row>
    <row r="866" spans="1:14" ht="21.75" customHeight="1" x14ac:dyDescent="0.55000000000000004">
      <c r="A866" s="349"/>
      <c r="B866" s="349"/>
      <c r="C866" s="349"/>
      <c r="D866" s="349"/>
      <c r="E866" s="352"/>
      <c r="F866" s="352"/>
      <c r="G866" s="352"/>
      <c r="H866" s="352"/>
      <c r="I866" s="352"/>
      <c r="J866" s="352"/>
      <c r="K866" s="353"/>
      <c r="L866" s="354"/>
      <c r="M866" s="354"/>
      <c r="N866" s="355"/>
    </row>
    <row r="867" spans="1:14" ht="21.75" customHeight="1" x14ac:dyDescent="0.55000000000000004">
      <c r="A867" s="349"/>
      <c r="B867" s="349"/>
      <c r="C867" s="349"/>
      <c r="D867" s="349"/>
      <c r="E867" s="352"/>
      <c r="F867" s="352"/>
      <c r="G867" s="352"/>
      <c r="H867" s="352"/>
      <c r="I867" s="352"/>
      <c r="J867" s="352"/>
      <c r="K867" s="353"/>
      <c r="L867" s="354"/>
      <c r="M867" s="354"/>
      <c r="N867" s="355"/>
    </row>
    <row r="868" spans="1:14" ht="21.75" customHeight="1" x14ac:dyDescent="0.55000000000000004">
      <c r="A868" s="349"/>
      <c r="B868" s="349"/>
      <c r="C868" s="349"/>
      <c r="D868" s="349"/>
      <c r="E868" s="352"/>
      <c r="F868" s="352"/>
      <c r="G868" s="352"/>
      <c r="H868" s="352"/>
      <c r="I868" s="352"/>
      <c r="J868" s="352"/>
      <c r="K868" s="353"/>
      <c r="L868" s="354"/>
      <c r="M868" s="354"/>
      <c r="N868" s="355"/>
    </row>
    <row r="869" spans="1:14" ht="21.75" customHeight="1" x14ac:dyDescent="0.55000000000000004">
      <c r="A869" s="349"/>
      <c r="B869" s="349"/>
      <c r="C869" s="349"/>
      <c r="D869" s="349"/>
      <c r="E869" s="352"/>
      <c r="F869" s="352"/>
      <c r="G869" s="352"/>
      <c r="H869" s="352"/>
      <c r="I869" s="352"/>
      <c r="J869" s="352"/>
      <c r="K869" s="353"/>
      <c r="L869" s="354"/>
      <c r="M869" s="354"/>
      <c r="N869" s="355"/>
    </row>
    <row r="870" spans="1:14" ht="21.75" customHeight="1" x14ac:dyDescent="0.55000000000000004">
      <c r="A870" s="349"/>
      <c r="B870" s="349"/>
      <c r="C870" s="349"/>
      <c r="D870" s="349"/>
      <c r="E870" s="352"/>
      <c r="F870" s="352"/>
      <c r="G870" s="352"/>
      <c r="H870" s="352"/>
      <c r="I870" s="352"/>
      <c r="J870" s="352"/>
      <c r="K870" s="353"/>
      <c r="L870" s="354"/>
      <c r="M870" s="354"/>
      <c r="N870" s="355"/>
    </row>
    <row r="871" spans="1:14" ht="21.75" customHeight="1" x14ac:dyDescent="0.55000000000000004">
      <c r="A871" s="349"/>
      <c r="B871" s="349"/>
      <c r="C871" s="349"/>
      <c r="D871" s="349"/>
      <c r="E871" s="352"/>
      <c r="F871" s="352"/>
      <c r="G871" s="352"/>
      <c r="H871" s="352"/>
      <c r="I871" s="352"/>
      <c r="J871" s="352"/>
      <c r="K871" s="353"/>
      <c r="L871" s="354"/>
      <c r="M871" s="354"/>
      <c r="N871" s="355"/>
    </row>
    <row r="872" spans="1:14" ht="21.75" customHeight="1" x14ac:dyDescent="0.55000000000000004">
      <c r="A872" s="349"/>
      <c r="B872" s="349"/>
      <c r="C872" s="349"/>
      <c r="D872" s="349"/>
      <c r="E872" s="352"/>
      <c r="F872" s="352"/>
      <c r="G872" s="352"/>
      <c r="H872" s="352"/>
      <c r="I872" s="352"/>
      <c r="J872" s="352"/>
      <c r="K872" s="353"/>
      <c r="L872" s="354"/>
      <c r="M872" s="354"/>
      <c r="N872" s="355"/>
    </row>
    <row r="873" spans="1:14" ht="21.75" customHeight="1" x14ac:dyDescent="0.55000000000000004">
      <c r="A873" s="349"/>
      <c r="B873" s="349"/>
      <c r="C873" s="349"/>
      <c r="D873" s="349"/>
      <c r="E873" s="352"/>
      <c r="F873" s="352"/>
      <c r="G873" s="352"/>
      <c r="H873" s="352"/>
      <c r="I873" s="352"/>
      <c r="J873" s="352"/>
      <c r="K873" s="353"/>
      <c r="L873" s="354"/>
      <c r="M873" s="354"/>
      <c r="N873" s="355"/>
    </row>
    <row r="874" spans="1:14" ht="21.75" customHeight="1" x14ac:dyDescent="0.55000000000000004">
      <c r="A874" s="349"/>
      <c r="B874" s="349"/>
      <c r="C874" s="349"/>
      <c r="D874" s="349"/>
      <c r="E874" s="352"/>
      <c r="F874" s="352"/>
      <c r="G874" s="352"/>
      <c r="H874" s="352"/>
      <c r="I874" s="352"/>
      <c r="J874" s="352"/>
      <c r="K874" s="353"/>
      <c r="L874" s="354"/>
      <c r="M874" s="354"/>
      <c r="N874" s="355"/>
    </row>
    <row r="875" spans="1:14" ht="21.75" customHeight="1" x14ac:dyDescent="0.55000000000000004">
      <c r="A875" s="349"/>
      <c r="B875" s="349"/>
      <c r="C875" s="349"/>
      <c r="D875" s="349"/>
      <c r="E875" s="352"/>
      <c r="F875" s="352"/>
      <c r="G875" s="352"/>
      <c r="H875" s="352"/>
      <c r="I875" s="352"/>
      <c r="J875" s="352"/>
      <c r="K875" s="353"/>
      <c r="L875" s="354"/>
      <c r="M875" s="354"/>
      <c r="N875" s="355"/>
    </row>
    <row r="876" spans="1:14" ht="21.75" customHeight="1" x14ac:dyDescent="0.55000000000000004">
      <c r="A876" s="349"/>
      <c r="B876" s="349"/>
      <c r="C876" s="349"/>
      <c r="D876" s="349"/>
      <c r="E876" s="352"/>
      <c r="F876" s="352"/>
      <c r="G876" s="352"/>
      <c r="H876" s="352"/>
      <c r="I876" s="352"/>
      <c r="J876" s="352"/>
      <c r="K876" s="353"/>
      <c r="L876" s="354"/>
      <c r="M876" s="354"/>
      <c r="N876" s="355"/>
    </row>
    <row r="877" spans="1:14" ht="21.75" customHeight="1" x14ac:dyDescent="0.55000000000000004">
      <c r="A877" s="349"/>
      <c r="B877" s="349"/>
      <c r="C877" s="349"/>
      <c r="D877" s="349"/>
      <c r="E877" s="352"/>
      <c r="F877" s="352"/>
      <c r="G877" s="352"/>
      <c r="H877" s="352"/>
      <c r="I877" s="352"/>
      <c r="J877" s="352"/>
      <c r="K877" s="353"/>
      <c r="L877" s="354"/>
      <c r="M877" s="354"/>
      <c r="N877" s="355"/>
    </row>
    <row r="878" spans="1:14" ht="21.75" customHeight="1" x14ac:dyDescent="0.55000000000000004">
      <c r="A878" s="349"/>
      <c r="B878" s="349"/>
      <c r="C878" s="349"/>
      <c r="D878" s="349"/>
      <c r="E878" s="352"/>
      <c r="F878" s="352"/>
      <c r="G878" s="352"/>
      <c r="H878" s="352"/>
      <c r="I878" s="352"/>
      <c r="J878" s="352"/>
      <c r="K878" s="353"/>
      <c r="L878" s="354"/>
      <c r="M878" s="354"/>
      <c r="N878" s="355"/>
    </row>
    <row r="879" spans="1:14" ht="21.75" customHeight="1" x14ac:dyDescent="0.55000000000000004">
      <c r="A879" s="349"/>
      <c r="B879" s="349"/>
      <c r="C879" s="349"/>
      <c r="D879" s="349"/>
      <c r="E879" s="352"/>
      <c r="F879" s="352"/>
      <c r="G879" s="352"/>
      <c r="H879" s="352"/>
      <c r="I879" s="352"/>
      <c r="J879" s="352"/>
      <c r="K879" s="353"/>
      <c r="L879" s="354"/>
      <c r="M879" s="354"/>
      <c r="N879" s="355"/>
    </row>
    <row r="880" spans="1:14" ht="21.75" customHeight="1" x14ac:dyDescent="0.55000000000000004">
      <c r="A880" s="349"/>
      <c r="B880" s="349"/>
      <c r="C880" s="349"/>
      <c r="D880" s="349"/>
      <c r="E880" s="352"/>
      <c r="F880" s="352"/>
      <c r="G880" s="352"/>
      <c r="H880" s="352"/>
      <c r="I880" s="352"/>
      <c r="J880" s="352"/>
      <c r="K880" s="353"/>
      <c r="L880" s="354"/>
      <c r="M880" s="354"/>
      <c r="N880" s="355"/>
    </row>
    <row r="881" spans="1:14" ht="21.75" customHeight="1" x14ac:dyDescent="0.55000000000000004">
      <c r="A881" s="349"/>
      <c r="B881" s="349"/>
      <c r="C881" s="349"/>
      <c r="D881" s="349"/>
      <c r="E881" s="352"/>
      <c r="F881" s="352"/>
      <c r="G881" s="352"/>
      <c r="H881" s="352"/>
      <c r="I881" s="352"/>
      <c r="J881" s="352"/>
      <c r="K881" s="353"/>
      <c r="L881" s="354"/>
      <c r="M881" s="354"/>
      <c r="N881" s="355"/>
    </row>
    <row r="882" spans="1:14" ht="21.75" customHeight="1" x14ac:dyDescent="0.55000000000000004">
      <c r="A882" s="349"/>
      <c r="B882" s="349"/>
      <c r="C882" s="349"/>
      <c r="D882" s="349"/>
      <c r="E882" s="352"/>
      <c r="F882" s="352"/>
      <c r="G882" s="352"/>
      <c r="H882" s="352"/>
      <c r="I882" s="352"/>
      <c r="J882" s="352"/>
      <c r="K882" s="353"/>
      <c r="L882" s="354"/>
      <c r="M882" s="354"/>
      <c r="N882" s="355"/>
    </row>
    <row r="883" spans="1:14" ht="21.75" customHeight="1" x14ac:dyDescent="0.55000000000000004">
      <c r="A883" s="349"/>
      <c r="B883" s="349"/>
      <c r="C883" s="349"/>
      <c r="D883" s="349"/>
      <c r="E883" s="352"/>
      <c r="F883" s="352"/>
      <c r="G883" s="352"/>
      <c r="H883" s="352"/>
      <c r="I883" s="352"/>
      <c r="J883" s="352"/>
      <c r="K883" s="353"/>
      <c r="L883" s="354"/>
      <c r="M883" s="354"/>
      <c r="N883" s="355"/>
    </row>
    <row r="884" spans="1:14" ht="21.75" customHeight="1" x14ac:dyDescent="0.55000000000000004">
      <c r="A884" s="349"/>
      <c r="B884" s="349"/>
      <c r="C884" s="349"/>
      <c r="D884" s="349"/>
      <c r="E884" s="352"/>
      <c r="F884" s="352"/>
      <c r="G884" s="352"/>
      <c r="H884" s="352"/>
      <c r="I884" s="352"/>
      <c r="J884" s="352"/>
      <c r="K884" s="353"/>
      <c r="L884" s="354"/>
      <c r="M884" s="354"/>
      <c r="N884" s="355"/>
    </row>
    <row r="885" spans="1:14" ht="21.75" customHeight="1" x14ac:dyDescent="0.55000000000000004">
      <c r="A885" s="349"/>
      <c r="B885" s="349"/>
      <c r="C885" s="349"/>
      <c r="D885" s="349"/>
      <c r="E885" s="352"/>
      <c r="F885" s="352"/>
      <c r="G885" s="352"/>
      <c r="H885" s="352"/>
      <c r="I885" s="352"/>
      <c r="J885" s="352"/>
      <c r="K885" s="353"/>
      <c r="L885" s="354"/>
      <c r="M885" s="354"/>
      <c r="N885" s="355"/>
    </row>
    <row r="886" spans="1:14" ht="21.75" customHeight="1" x14ac:dyDescent="0.55000000000000004">
      <c r="A886" s="349"/>
      <c r="B886" s="349"/>
      <c r="C886" s="349"/>
      <c r="D886" s="349"/>
      <c r="E886" s="352"/>
      <c r="F886" s="352"/>
      <c r="G886" s="352"/>
      <c r="H886" s="352"/>
      <c r="I886" s="352"/>
      <c r="J886" s="352"/>
      <c r="K886" s="353"/>
      <c r="L886" s="354"/>
      <c r="M886" s="354"/>
      <c r="N886" s="355"/>
    </row>
    <row r="887" spans="1:14" ht="21.75" customHeight="1" x14ac:dyDescent="0.55000000000000004">
      <c r="A887" s="349"/>
      <c r="B887" s="349"/>
      <c r="C887" s="349"/>
      <c r="D887" s="349"/>
      <c r="E887" s="352"/>
      <c r="F887" s="352"/>
      <c r="G887" s="352"/>
      <c r="H887" s="352"/>
      <c r="I887" s="352"/>
      <c r="J887" s="352"/>
      <c r="K887" s="353"/>
      <c r="L887" s="354"/>
      <c r="M887" s="354"/>
      <c r="N887" s="355"/>
    </row>
    <row r="888" spans="1:14" ht="21.75" customHeight="1" x14ac:dyDescent="0.55000000000000004">
      <c r="A888" s="349"/>
      <c r="B888" s="349"/>
      <c r="C888" s="349"/>
      <c r="D888" s="349"/>
      <c r="E888" s="352"/>
      <c r="F888" s="352"/>
      <c r="G888" s="352"/>
      <c r="H888" s="352"/>
      <c r="I888" s="352"/>
      <c r="J888" s="352"/>
      <c r="K888" s="353"/>
      <c r="L888" s="354"/>
      <c r="M888" s="354"/>
      <c r="N888" s="355"/>
    </row>
    <row r="889" spans="1:14" ht="21.75" customHeight="1" x14ac:dyDescent="0.55000000000000004">
      <c r="A889" s="349"/>
      <c r="B889" s="349"/>
      <c r="C889" s="349"/>
      <c r="D889" s="349"/>
      <c r="E889" s="352"/>
      <c r="F889" s="352"/>
      <c r="G889" s="352"/>
      <c r="H889" s="352"/>
      <c r="I889" s="352"/>
      <c r="J889" s="352"/>
      <c r="K889" s="353"/>
      <c r="L889" s="354"/>
      <c r="M889" s="354"/>
      <c r="N889" s="355"/>
    </row>
    <row r="890" spans="1:14" ht="21.75" customHeight="1" x14ac:dyDescent="0.55000000000000004">
      <c r="A890" s="349"/>
      <c r="B890" s="349"/>
      <c r="C890" s="349"/>
      <c r="D890" s="349"/>
      <c r="E890" s="352"/>
      <c r="F890" s="352"/>
      <c r="G890" s="352"/>
      <c r="H890" s="352"/>
      <c r="I890" s="352"/>
      <c r="J890" s="352"/>
      <c r="K890" s="353"/>
      <c r="L890" s="354"/>
      <c r="M890" s="354"/>
      <c r="N890" s="355"/>
    </row>
    <row r="891" spans="1:14" ht="21.75" customHeight="1" x14ac:dyDescent="0.55000000000000004">
      <c r="A891" s="349"/>
      <c r="B891" s="349"/>
      <c r="C891" s="349"/>
      <c r="D891" s="349"/>
      <c r="E891" s="352"/>
      <c r="F891" s="352"/>
      <c r="G891" s="352"/>
      <c r="H891" s="352"/>
      <c r="I891" s="352"/>
      <c r="J891" s="352"/>
      <c r="K891" s="353"/>
      <c r="L891" s="354"/>
      <c r="M891" s="354"/>
      <c r="N891" s="355"/>
    </row>
    <row r="892" spans="1:14" ht="21.75" customHeight="1" x14ac:dyDescent="0.55000000000000004">
      <c r="A892" s="349"/>
      <c r="B892" s="349"/>
      <c r="C892" s="349"/>
      <c r="D892" s="349"/>
      <c r="E892" s="352"/>
      <c r="F892" s="352"/>
      <c r="G892" s="352"/>
      <c r="H892" s="352"/>
      <c r="I892" s="352"/>
      <c r="J892" s="352"/>
      <c r="K892" s="353"/>
      <c r="L892" s="354"/>
      <c r="M892" s="354"/>
      <c r="N892" s="355"/>
    </row>
    <row r="893" spans="1:14" ht="21.75" customHeight="1" x14ac:dyDescent="0.55000000000000004">
      <c r="A893" s="349"/>
      <c r="B893" s="349"/>
      <c r="C893" s="349"/>
      <c r="D893" s="349"/>
      <c r="E893" s="352"/>
      <c r="F893" s="352"/>
      <c r="G893" s="352"/>
      <c r="H893" s="352"/>
      <c r="I893" s="352"/>
      <c r="J893" s="352"/>
      <c r="K893" s="353"/>
      <c r="L893" s="354"/>
      <c r="M893" s="354"/>
      <c r="N893" s="355"/>
    </row>
    <row r="894" spans="1:14" ht="21.75" customHeight="1" x14ac:dyDescent="0.55000000000000004">
      <c r="A894" s="349"/>
      <c r="B894" s="349"/>
      <c r="C894" s="349"/>
      <c r="D894" s="349"/>
      <c r="E894" s="352"/>
      <c r="F894" s="352"/>
      <c r="G894" s="352"/>
      <c r="H894" s="352"/>
      <c r="I894" s="352"/>
      <c r="J894" s="352"/>
      <c r="K894" s="353"/>
      <c r="L894" s="354"/>
      <c r="M894" s="354"/>
      <c r="N894" s="355"/>
    </row>
    <row r="895" spans="1:14" ht="21.75" customHeight="1" x14ac:dyDescent="0.55000000000000004">
      <c r="A895" s="349"/>
      <c r="B895" s="349"/>
      <c r="C895" s="349"/>
      <c r="D895" s="349"/>
      <c r="E895" s="352"/>
      <c r="F895" s="352"/>
      <c r="G895" s="352"/>
      <c r="H895" s="352"/>
      <c r="I895" s="352"/>
      <c r="J895" s="352"/>
      <c r="K895" s="353"/>
      <c r="L895" s="354"/>
      <c r="M895" s="354"/>
      <c r="N895" s="355"/>
    </row>
    <row r="896" spans="1:14" ht="21.75" customHeight="1" x14ac:dyDescent="0.55000000000000004">
      <c r="A896" s="349"/>
      <c r="B896" s="349"/>
      <c r="C896" s="349"/>
      <c r="D896" s="349"/>
      <c r="E896" s="352"/>
      <c r="F896" s="352"/>
      <c r="G896" s="352"/>
      <c r="H896" s="352"/>
      <c r="I896" s="352"/>
      <c r="J896" s="352"/>
      <c r="K896" s="353"/>
      <c r="L896" s="354"/>
      <c r="M896" s="354"/>
      <c r="N896" s="355"/>
    </row>
    <row r="897" spans="1:14" ht="21.75" customHeight="1" x14ac:dyDescent="0.55000000000000004">
      <c r="A897" s="349"/>
      <c r="B897" s="349"/>
      <c r="C897" s="349"/>
      <c r="D897" s="349"/>
      <c r="E897" s="352"/>
      <c r="F897" s="352"/>
      <c r="G897" s="352"/>
      <c r="H897" s="352"/>
      <c r="I897" s="352"/>
      <c r="J897" s="352"/>
      <c r="K897" s="353"/>
      <c r="L897" s="354"/>
      <c r="M897" s="354"/>
      <c r="N897" s="355"/>
    </row>
    <row r="898" spans="1:14" ht="21.75" customHeight="1" x14ac:dyDescent="0.55000000000000004">
      <c r="A898" s="349"/>
      <c r="B898" s="349"/>
      <c r="C898" s="349"/>
      <c r="D898" s="349"/>
      <c r="E898" s="352"/>
      <c r="F898" s="352"/>
      <c r="G898" s="352"/>
      <c r="H898" s="352"/>
      <c r="I898" s="352"/>
      <c r="J898" s="352"/>
      <c r="K898" s="353"/>
      <c r="L898" s="354"/>
      <c r="M898" s="354"/>
      <c r="N898" s="355"/>
    </row>
    <row r="899" spans="1:14" ht="21.75" customHeight="1" x14ac:dyDescent="0.55000000000000004">
      <c r="A899" s="349"/>
      <c r="B899" s="349"/>
      <c r="C899" s="349"/>
      <c r="D899" s="349"/>
      <c r="E899" s="352"/>
      <c r="F899" s="352"/>
      <c r="G899" s="352"/>
      <c r="H899" s="352"/>
      <c r="I899" s="352"/>
      <c r="J899" s="352"/>
      <c r="K899" s="353"/>
      <c r="L899" s="354"/>
      <c r="M899" s="354"/>
      <c r="N899" s="355"/>
    </row>
    <row r="900" spans="1:14" ht="21.75" customHeight="1" x14ac:dyDescent="0.55000000000000004">
      <c r="A900" s="349"/>
      <c r="B900" s="349"/>
      <c r="C900" s="349"/>
      <c r="D900" s="349"/>
      <c r="E900" s="352"/>
      <c r="F900" s="352"/>
      <c r="G900" s="352"/>
      <c r="H900" s="352"/>
      <c r="I900" s="352"/>
      <c r="J900" s="352"/>
      <c r="K900" s="353"/>
      <c r="L900" s="354"/>
      <c r="M900" s="354"/>
      <c r="N900" s="355"/>
    </row>
    <row r="901" spans="1:14" ht="21.75" customHeight="1" x14ac:dyDescent="0.55000000000000004">
      <c r="A901" s="349"/>
      <c r="B901" s="349"/>
      <c r="C901" s="349"/>
      <c r="D901" s="349"/>
      <c r="E901" s="352"/>
      <c r="F901" s="352"/>
      <c r="G901" s="352"/>
      <c r="H901" s="352"/>
      <c r="I901" s="352"/>
      <c r="J901" s="352"/>
      <c r="K901" s="353"/>
      <c r="L901" s="354"/>
      <c r="M901" s="354"/>
      <c r="N901" s="355"/>
    </row>
    <row r="902" spans="1:14" ht="21.75" customHeight="1" x14ac:dyDescent="0.55000000000000004">
      <c r="A902" s="349"/>
      <c r="B902" s="349"/>
      <c r="C902" s="349"/>
      <c r="D902" s="349"/>
      <c r="E902" s="352"/>
      <c r="F902" s="352"/>
      <c r="G902" s="352"/>
      <c r="H902" s="352"/>
      <c r="I902" s="352"/>
      <c r="J902" s="352"/>
      <c r="K902" s="353"/>
      <c r="L902" s="354"/>
      <c r="M902" s="354"/>
      <c r="N902" s="355"/>
    </row>
    <row r="903" spans="1:14" ht="21.75" customHeight="1" x14ac:dyDescent="0.55000000000000004">
      <c r="A903" s="349"/>
      <c r="B903" s="349"/>
      <c r="C903" s="349"/>
      <c r="D903" s="349"/>
      <c r="E903" s="352"/>
      <c r="F903" s="352"/>
      <c r="G903" s="352"/>
      <c r="H903" s="352"/>
      <c r="I903" s="352"/>
      <c r="J903" s="352"/>
      <c r="K903" s="353"/>
      <c r="L903" s="354"/>
      <c r="M903" s="354"/>
      <c r="N903" s="355"/>
    </row>
    <row r="904" spans="1:14" ht="21.75" customHeight="1" x14ac:dyDescent="0.55000000000000004">
      <c r="A904" s="349"/>
      <c r="B904" s="349"/>
      <c r="C904" s="349"/>
      <c r="D904" s="349"/>
      <c r="E904" s="352"/>
      <c r="F904" s="352"/>
      <c r="G904" s="352"/>
      <c r="H904" s="352"/>
      <c r="I904" s="352"/>
      <c r="J904" s="352"/>
      <c r="K904" s="353"/>
      <c r="L904" s="354"/>
      <c r="M904" s="354"/>
      <c r="N904" s="355"/>
    </row>
    <row r="905" spans="1:14" ht="21.75" customHeight="1" x14ac:dyDescent="0.55000000000000004">
      <c r="A905" s="349"/>
      <c r="B905" s="349"/>
      <c r="C905" s="349"/>
      <c r="D905" s="349"/>
      <c r="E905" s="352"/>
      <c r="F905" s="352"/>
      <c r="G905" s="352"/>
      <c r="H905" s="352"/>
      <c r="I905" s="352"/>
      <c r="J905" s="352"/>
      <c r="K905" s="353"/>
      <c r="L905" s="354"/>
      <c r="M905" s="354"/>
      <c r="N905" s="355"/>
    </row>
    <row r="906" spans="1:14" ht="21.75" customHeight="1" x14ac:dyDescent="0.55000000000000004">
      <c r="A906" s="349"/>
      <c r="B906" s="349"/>
      <c r="C906" s="349"/>
      <c r="D906" s="349"/>
      <c r="E906" s="352"/>
      <c r="F906" s="352"/>
      <c r="G906" s="352"/>
      <c r="H906" s="352"/>
      <c r="I906" s="352"/>
      <c r="J906" s="352"/>
      <c r="K906" s="353"/>
      <c r="L906" s="354"/>
      <c r="M906" s="354"/>
      <c r="N906" s="355"/>
    </row>
    <row r="907" spans="1:14" ht="21.75" customHeight="1" x14ac:dyDescent="0.55000000000000004">
      <c r="A907" s="349"/>
      <c r="B907" s="349"/>
      <c r="C907" s="349"/>
      <c r="D907" s="349"/>
      <c r="E907" s="352"/>
      <c r="F907" s="352"/>
      <c r="G907" s="352"/>
      <c r="H907" s="352"/>
      <c r="I907" s="352"/>
      <c r="J907" s="352"/>
      <c r="K907" s="353"/>
      <c r="L907" s="354"/>
      <c r="M907" s="354"/>
      <c r="N907" s="355"/>
    </row>
    <row r="908" spans="1:14" ht="21.75" customHeight="1" x14ac:dyDescent="0.55000000000000004">
      <c r="A908" s="349"/>
      <c r="B908" s="349"/>
      <c r="C908" s="349"/>
      <c r="D908" s="349"/>
      <c r="E908" s="352"/>
      <c r="F908" s="352"/>
      <c r="G908" s="352"/>
      <c r="H908" s="352"/>
      <c r="I908" s="352"/>
      <c r="J908" s="352"/>
      <c r="K908" s="353"/>
      <c r="L908" s="354"/>
      <c r="M908" s="354"/>
      <c r="N908" s="355"/>
    </row>
    <row r="909" spans="1:14" ht="21.75" customHeight="1" x14ac:dyDescent="0.55000000000000004">
      <c r="A909" s="349"/>
      <c r="B909" s="349"/>
      <c r="C909" s="349"/>
      <c r="D909" s="349"/>
      <c r="E909" s="352"/>
      <c r="F909" s="352"/>
      <c r="G909" s="352"/>
      <c r="H909" s="352"/>
      <c r="I909" s="352"/>
      <c r="J909" s="352"/>
      <c r="K909" s="353"/>
      <c r="L909" s="354"/>
      <c r="M909" s="354"/>
      <c r="N909" s="355"/>
    </row>
    <row r="910" spans="1:14" ht="21.75" customHeight="1" x14ac:dyDescent="0.55000000000000004">
      <c r="A910" s="349"/>
      <c r="B910" s="349"/>
      <c r="C910" s="349"/>
      <c r="D910" s="349"/>
      <c r="E910" s="352"/>
      <c r="F910" s="352"/>
      <c r="G910" s="352"/>
      <c r="H910" s="352"/>
      <c r="I910" s="352"/>
      <c r="J910" s="352"/>
      <c r="K910" s="353"/>
      <c r="L910" s="354"/>
      <c r="M910" s="354"/>
      <c r="N910" s="355"/>
    </row>
    <row r="911" spans="1:14" ht="21.75" customHeight="1" x14ac:dyDescent="0.55000000000000004">
      <c r="A911" s="349"/>
      <c r="B911" s="349"/>
      <c r="C911" s="349"/>
      <c r="D911" s="349"/>
      <c r="E911" s="352"/>
      <c r="F911" s="352"/>
      <c r="G911" s="352"/>
      <c r="H911" s="352"/>
      <c r="I911" s="352"/>
      <c r="J911" s="352"/>
      <c r="K911" s="353"/>
      <c r="L911" s="354"/>
      <c r="M911" s="354"/>
      <c r="N911" s="355"/>
    </row>
    <row r="912" spans="1:14" ht="21.75" customHeight="1" x14ac:dyDescent="0.55000000000000004">
      <c r="A912" s="349"/>
      <c r="B912" s="349"/>
      <c r="C912" s="349"/>
      <c r="D912" s="349"/>
      <c r="E912" s="352"/>
      <c r="F912" s="352"/>
      <c r="G912" s="352"/>
      <c r="H912" s="352"/>
      <c r="I912" s="352"/>
      <c r="J912" s="352"/>
      <c r="K912" s="353"/>
      <c r="L912" s="354"/>
      <c r="M912" s="354"/>
      <c r="N912" s="355"/>
    </row>
    <row r="913" spans="1:14" ht="21.75" customHeight="1" x14ac:dyDescent="0.55000000000000004">
      <c r="A913" s="349"/>
      <c r="B913" s="349"/>
      <c r="C913" s="349"/>
      <c r="D913" s="349"/>
      <c r="E913" s="352"/>
      <c r="F913" s="352"/>
      <c r="G913" s="352"/>
      <c r="H913" s="352"/>
      <c r="I913" s="352"/>
      <c r="J913" s="352"/>
      <c r="K913" s="353"/>
      <c r="L913" s="354"/>
      <c r="M913" s="354"/>
      <c r="N913" s="355"/>
    </row>
    <row r="914" spans="1:14" ht="21.75" customHeight="1" x14ac:dyDescent="0.55000000000000004">
      <c r="A914" s="349"/>
      <c r="B914" s="349"/>
      <c r="C914" s="349"/>
      <c r="D914" s="349"/>
      <c r="E914" s="352"/>
      <c r="F914" s="352"/>
      <c r="G914" s="352"/>
      <c r="H914" s="352"/>
      <c r="I914" s="352"/>
      <c r="J914" s="352"/>
      <c r="K914" s="353"/>
      <c r="L914" s="354"/>
      <c r="M914" s="354"/>
      <c r="N914" s="355"/>
    </row>
    <row r="915" spans="1:14" ht="21.75" customHeight="1" x14ac:dyDescent="0.55000000000000004">
      <c r="A915" s="349"/>
      <c r="B915" s="349"/>
      <c r="C915" s="349"/>
      <c r="D915" s="349"/>
      <c r="E915" s="352"/>
      <c r="F915" s="352"/>
      <c r="G915" s="352"/>
      <c r="H915" s="352"/>
      <c r="I915" s="352"/>
      <c r="J915" s="352"/>
      <c r="K915" s="353"/>
      <c r="L915" s="354"/>
      <c r="M915" s="354"/>
      <c r="N915" s="355"/>
    </row>
    <row r="916" spans="1:14" ht="21.75" customHeight="1" x14ac:dyDescent="0.55000000000000004">
      <c r="A916" s="349"/>
      <c r="B916" s="349"/>
      <c r="C916" s="349"/>
      <c r="D916" s="349"/>
      <c r="E916" s="352"/>
      <c r="F916" s="352"/>
      <c r="G916" s="352"/>
      <c r="H916" s="352"/>
      <c r="I916" s="352"/>
      <c r="J916" s="352"/>
      <c r="K916" s="353"/>
      <c r="L916" s="354"/>
      <c r="M916" s="354"/>
      <c r="N916" s="355"/>
    </row>
    <row r="917" spans="1:14" ht="21.75" customHeight="1" x14ac:dyDescent="0.55000000000000004">
      <c r="A917" s="349"/>
      <c r="B917" s="349"/>
      <c r="C917" s="349"/>
      <c r="D917" s="349"/>
      <c r="E917" s="352"/>
      <c r="F917" s="352"/>
      <c r="G917" s="352"/>
      <c r="H917" s="352"/>
      <c r="I917" s="352"/>
      <c r="J917" s="352"/>
      <c r="K917" s="353"/>
      <c r="L917" s="354"/>
      <c r="M917" s="354"/>
      <c r="N917" s="355"/>
    </row>
    <row r="918" spans="1:14" ht="21.75" customHeight="1" x14ac:dyDescent="0.55000000000000004">
      <c r="A918" s="349"/>
      <c r="B918" s="349"/>
      <c r="C918" s="349"/>
      <c r="D918" s="349"/>
      <c r="E918" s="352"/>
      <c r="F918" s="352"/>
      <c r="G918" s="352"/>
      <c r="H918" s="352"/>
      <c r="I918" s="352"/>
      <c r="J918" s="352"/>
      <c r="K918" s="353"/>
      <c r="L918" s="354"/>
      <c r="M918" s="354"/>
      <c r="N918" s="355"/>
    </row>
    <row r="919" spans="1:14" ht="21.75" customHeight="1" x14ac:dyDescent="0.55000000000000004">
      <c r="A919" s="349"/>
      <c r="B919" s="349"/>
      <c r="C919" s="349"/>
      <c r="D919" s="349"/>
      <c r="E919" s="352"/>
      <c r="F919" s="352"/>
      <c r="G919" s="352"/>
      <c r="H919" s="352"/>
      <c r="I919" s="352"/>
      <c r="J919" s="352"/>
      <c r="K919" s="353"/>
      <c r="L919" s="354"/>
      <c r="M919" s="354"/>
      <c r="N919" s="355"/>
    </row>
    <row r="920" spans="1:14" ht="21.75" customHeight="1" x14ac:dyDescent="0.55000000000000004">
      <c r="A920" s="349"/>
      <c r="B920" s="349"/>
      <c r="C920" s="349"/>
      <c r="D920" s="349"/>
      <c r="E920" s="352"/>
      <c r="F920" s="352"/>
      <c r="G920" s="352"/>
      <c r="H920" s="352"/>
      <c r="I920" s="352"/>
      <c r="J920" s="352"/>
      <c r="K920" s="353"/>
      <c r="L920" s="354"/>
      <c r="M920" s="354"/>
      <c r="N920" s="355"/>
    </row>
    <row r="921" spans="1:14" ht="21.75" customHeight="1" x14ac:dyDescent="0.55000000000000004">
      <c r="A921" s="349"/>
      <c r="B921" s="349"/>
      <c r="C921" s="349"/>
      <c r="D921" s="349"/>
      <c r="E921" s="352"/>
      <c r="F921" s="352"/>
      <c r="G921" s="352"/>
      <c r="H921" s="352"/>
      <c r="I921" s="352"/>
      <c r="J921" s="352"/>
      <c r="K921" s="353"/>
      <c r="L921" s="354"/>
      <c r="M921" s="354"/>
      <c r="N921" s="355"/>
    </row>
    <row r="922" spans="1:14" ht="21.75" customHeight="1" x14ac:dyDescent="0.55000000000000004">
      <c r="A922" s="349"/>
      <c r="B922" s="349"/>
      <c r="C922" s="349"/>
      <c r="D922" s="349"/>
      <c r="E922" s="352"/>
      <c r="F922" s="352"/>
      <c r="G922" s="352"/>
      <c r="H922" s="352"/>
      <c r="I922" s="352"/>
      <c r="J922" s="352"/>
      <c r="K922" s="353"/>
      <c r="L922" s="354"/>
      <c r="M922" s="354"/>
      <c r="N922" s="355"/>
    </row>
    <row r="923" spans="1:14" ht="21.75" customHeight="1" x14ac:dyDescent="0.55000000000000004">
      <c r="A923" s="349"/>
      <c r="B923" s="349"/>
      <c r="C923" s="349"/>
      <c r="D923" s="349"/>
      <c r="E923" s="352"/>
      <c r="F923" s="352"/>
      <c r="G923" s="352"/>
      <c r="H923" s="352"/>
      <c r="I923" s="352"/>
      <c r="J923" s="352"/>
      <c r="K923" s="353"/>
      <c r="L923" s="354"/>
      <c r="M923" s="354"/>
      <c r="N923" s="355"/>
    </row>
    <row r="924" spans="1:14" ht="21.75" customHeight="1" x14ac:dyDescent="0.55000000000000004">
      <c r="A924" s="349"/>
      <c r="B924" s="349"/>
      <c r="C924" s="349"/>
      <c r="D924" s="349"/>
      <c r="E924" s="352"/>
      <c r="F924" s="352"/>
      <c r="G924" s="352"/>
      <c r="H924" s="352"/>
      <c r="I924" s="352"/>
      <c r="J924" s="352"/>
      <c r="K924" s="353"/>
      <c r="L924" s="354"/>
      <c r="M924" s="354"/>
      <c r="N924" s="355"/>
    </row>
    <row r="925" spans="1:14" ht="21.75" customHeight="1" x14ac:dyDescent="0.55000000000000004">
      <c r="A925" s="349"/>
      <c r="B925" s="349"/>
      <c r="C925" s="349"/>
      <c r="D925" s="349"/>
      <c r="E925" s="352"/>
      <c r="F925" s="352"/>
      <c r="G925" s="352"/>
      <c r="H925" s="352"/>
      <c r="I925" s="352"/>
      <c r="J925" s="352"/>
      <c r="K925" s="353"/>
      <c r="L925" s="354"/>
      <c r="M925" s="354"/>
      <c r="N925" s="355"/>
    </row>
    <row r="926" spans="1:14" ht="21.75" customHeight="1" x14ac:dyDescent="0.55000000000000004">
      <c r="A926" s="349"/>
      <c r="B926" s="349"/>
      <c r="C926" s="349"/>
      <c r="D926" s="349"/>
      <c r="E926" s="352"/>
      <c r="F926" s="352"/>
      <c r="G926" s="352"/>
      <c r="H926" s="352"/>
      <c r="I926" s="352"/>
      <c r="J926" s="352"/>
      <c r="K926" s="353"/>
      <c r="L926" s="354"/>
      <c r="M926" s="354"/>
      <c r="N926" s="355"/>
    </row>
    <row r="927" spans="1:14" ht="21.75" customHeight="1" x14ac:dyDescent="0.55000000000000004">
      <c r="A927" s="349"/>
      <c r="B927" s="349"/>
      <c r="C927" s="349"/>
      <c r="D927" s="349"/>
      <c r="E927" s="352"/>
      <c r="F927" s="352"/>
      <c r="G927" s="352"/>
      <c r="H927" s="352"/>
      <c r="I927" s="352"/>
      <c r="J927" s="352"/>
      <c r="K927" s="353"/>
      <c r="L927" s="354"/>
      <c r="M927" s="354"/>
      <c r="N927" s="355"/>
    </row>
    <row r="928" spans="1:14" ht="21.75" customHeight="1" x14ac:dyDescent="0.55000000000000004">
      <c r="A928" s="349"/>
      <c r="B928" s="349"/>
      <c r="C928" s="349"/>
      <c r="D928" s="349"/>
      <c r="E928" s="352"/>
      <c r="F928" s="352"/>
      <c r="G928" s="352"/>
      <c r="H928" s="352"/>
      <c r="I928" s="352"/>
      <c r="J928" s="352"/>
      <c r="K928" s="353"/>
      <c r="L928" s="354"/>
      <c r="M928" s="354"/>
      <c r="N928" s="355"/>
    </row>
    <row r="929" spans="1:14" ht="21.75" customHeight="1" x14ac:dyDescent="0.55000000000000004">
      <c r="A929" s="349"/>
      <c r="B929" s="349"/>
      <c r="C929" s="349"/>
      <c r="D929" s="349"/>
      <c r="E929" s="352"/>
      <c r="F929" s="352"/>
      <c r="G929" s="352"/>
      <c r="H929" s="352"/>
      <c r="I929" s="352"/>
      <c r="J929" s="352"/>
      <c r="K929" s="353"/>
      <c r="L929" s="354"/>
      <c r="M929" s="354"/>
      <c r="N929" s="355"/>
    </row>
    <row r="930" spans="1:14" ht="21.75" customHeight="1" x14ac:dyDescent="0.55000000000000004">
      <c r="A930" s="349"/>
      <c r="B930" s="349"/>
      <c r="C930" s="349"/>
      <c r="D930" s="349"/>
      <c r="E930" s="352"/>
      <c r="F930" s="352"/>
      <c r="G930" s="352"/>
      <c r="H930" s="352"/>
      <c r="I930" s="352"/>
      <c r="J930" s="352"/>
      <c r="K930" s="353"/>
      <c r="L930" s="354"/>
      <c r="M930" s="354"/>
      <c r="N930" s="355"/>
    </row>
    <row r="931" spans="1:14" ht="21.75" customHeight="1" x14ac:dyDescent="0.55000000000000004">
      <c r="A931" s="349"/>
      <c r="B931" s="349"/>
      <c r="C931" s="349"/>
      <c r="D931" s="349"/>
      <c r="E931" s="352"/>
      <c r="F931" s="352"/>
      <c r="G931" s="352"/>
      <c r="H931" s="352"/>
      <c r="I931" s="352"/>
      <c r="J931" s="352"/>
      <c r="K931" s="353"/>
      <c r="L931" s="354"/>
      <c r="M931" s="354"/>
      <c r="N931" s="355"/>
    </row>
    <row r="932" spans="1:14" ht="21.75" customHeight="1" x14ac:dyDescent="0.55000000000000004">
      <c r="A932" s="349"/>
      <c r="B932" s="349"/>
      <c r="C932" s="349"/>
      <c r="D932" s="349"/>
      <c r="E932" s="352"/>
      <c r="F932" s="352"/>
      <c r="G932" s="352"/>
      <c r="H932" s="352"/>
      <c r="I932" s="352"/>
      <c r="J932" s="352"/>
      <c r="K932" s="353"/>
      <c r="L932" s="354"/>
      <c r="M932" s="354"/>
      <c r="N932" s="355"/>
    </row>
    <row r="933" spans="1:14" ht="21.75" customHeight="1" x14ac:dyDescent="0.55000000000000004">
      <c r="A933" s="349"/>
      <c r="B933" s="349"/>
      <c r="C933" s="349"/>
      <c r="D933" s="349"/>
      <c r="E933" s="352"/>
      <c r="F933" s="352"/>
      <c r="G933" s="352"/>
      <c r="H933" s="352"/>
      <c r="I933" s="352"/>
      <c r="J933" s="352"/>
      <c r="K933" s="353"/>
      <c r="L933" s="354"/>
      <c r="M933" s="354"/>
      <c r="N933" s="355"/>
    </row>
    <row r="934" spans="1:14" ht="21.75" customHeight="1" x14ac:dyDescent="0.55000000000000004">
      <c r="A934" s="349"/>
      <c r="B934" s="349"/>
      <c r="C934" s="349"/>
      <c r="D934" s="349"/>
      <c r="E934" s="352"/>
      <c r="F934" s="352"/>
      <c r="G934" s="352"/>
      <c r="H934" s="352"/>
      <c r="I934" s="352"/>
      <c r="J934" s="352"/>
      <c r="K934" s="353"/>
      <c r="L934" s="354"/>
      <c r="M934" s="354"/>
      <c r="N934" s="355"/>
    </row>
    <row r="935" spans="1:14" ht="21.75" customHeight="1" x14ac:dyDescent="0.55000000000000004">
      <c r="A935" s="349"/>
      <c r="B935" s="349"/>
      <c r="C935" s="349"/>
      <c r="D935" s="349"/>
      <c r="E935" s="352"/>
      <c r="F935" s="352"/>
      <c r="G935" s="352"/>
      <c r="H935" s="352"/>
      <c r="I935" s="352"/>
      <c r="J935" s="352"/>
      <c r="K935" s="353"/>
      <c r="L935" s="354"/>
      <c r="M935" s="354"/>
      <c r="N935" s="355"/>
    </row>
    <row r="936" spans="1:14" ht="21.75" customHeight="1" x14ac:dyDescent="0.55000000000000004">
      <c r="A936" s="349"/>
      <c r="B936" s="349"/>
      <c r="C936" s="349"/>
      <c r="D936" s="349"/>
      <c r="E936" s="352"/>
      <c r="F936" s="352"/>
      <c r="G936" s="352"/>
      <c r="H936" s="352"/>
      <c r="I936" s="352"/>
      <c r="J936" s="352"/>
      <c r="K936" s="353"/>
      <c r="L936" s="354"/>
      <c r="M936" s="354"/>
      <c r="N936" s="355"/>
    </row>
    <row r="937" spans="1:14" ht="21.75" customHeight="1" x14ac:dyDescent="0.55000000000000004">
      <c r="A937" s="349"/>
      <c r="B937" s="349"/>
      <c r="C937" s="349"/>
      <c r="D937" s="349"/>
      <c r="E937" s="352"/>
      <c r="F937" s="352"/>
      <c r="G937" s="352"/>
      <c r="H937" s="352"/>
      <c r="I937" s="352"/>
      <c r="J937" s="352"/>
      <c r="K937" s="353"/>
      <c r="L937" s="354"/>
      <c r="M937" s="354"/>
      <c r="N937" s="355"/>
    </row>
    <row r="938" spans="1:14" ht="21.75" customHeight="1" x14ac:dyDescent="0.55000000000000004">
      <c r="A938" s="349"/>
      <c r="B938" s="349"/>
      <c r="C938" s="349"/>
      <c r="D938" s="349"/>
      <c r="E938" s="352"/>
      <c r="F938" s="352"/>
      <c r="G938" s="352"/>
      <c r="H938" s="352"/>
      <c r="I938" s="352"/>
      <c r="J938" s="352"/>
      <c r="K938" s="353"/>
      <c r="L938" s="354"/>
      <c r="M938" s="354"/>
      <c r="N938" s="355"/>
    </row>
    <row r="939" spans="1:14" ht="21.75" customHeight="1" x14ac:dyDescent="0.55000000000000004">
      <c r="A939" s="349"/>
      <c r="B939" s="349"/>
      <c r="C939" s="349"/>
      <c r="D939" s="349"/>
      <c r="E939" s="352"/>
      <c r="F939" s="352"/>
      <c r="G939" s="352"/>
      <c r="H939" s="352"/>
      <c r="I939" s="352"/>
      <c r="J939" s="352"/>
      <c r="K939" s="353"/>
      <c r="L939" s="354"/>
      <c r="M939" s="354"/>
      <c r="N939" s="355"/>
    </row>
    <row r="940" spans="1:14" ht="21.75" customHeight="1" x14ac:dyDescent="0.55000000000000004">
      <c r="A940" s="349"/>
      <c r="B940" s="349"/>
      <c r="C940" s="349"/>
      <c r="D940" s="349"/>
      <c r="E940" s="352"/>
      <c r="F940" s="352"/>
      <c r="G940" s="352"/>
      <c r="H940" s="352"/>
      <c r="I940" s="352"/>
      <c r="J940" s="352"/>
      <c r="K940" s="353"/>
      <c r="L940" s="354"/>
      <c r="M940" s="354"/>
      <c r="N940" s="355"/>
    </row>
    <row r="941" spans="1:14" ht="21.75" customHeight="1" x14ac:dyDescent="0.55000000000000004">
      <c r="A941" s="349"/>
      <c r="B941" s="349"/>
      <c r="C941" s="349"/>
      <c r="D941" s="349"/>
      <c r="E941" s="352"/>
      <c r="F941" s="352"/>
      <c r="G941" s="352"/>
      <c r="H941" s="352"/>
      <c r="I941" s="352"/>
      <c r="J941" s="352"/>
      <c r="K941" s="353"/>
      <c r="L941" s="354"/>
      <c r="M941" s="354"/>
      <c r="N941" s="355"/>
    </row>
    <row r="942" spans="1:14" ht="21.75" customHeight="1" x14ac:dyDescent="0.55000000000000004">
      <c r="A942" s="349"/>
      <c r="B942" s="349"/>
      <c r="C942" s="349"/>
      <c r="D942" s="349"/>
      <c r="E942" s="352"/>
      <c r="F942" s="352"/>
      <c r="G942" s="352"/>
      <c r="H942" s="352"/>
      <c r="I942" s="352"/>
      <c r="J942" s="352"/>
      <c r="K942" s="353"/>
      <c r="L942" s="354"/>
      <c r="M942" s="354"/>
      <c r="N942" s="355"/>
    </row>
    <row r="943" spans="1:14" ht="21.75" customHeight="1" x14ac:dyDescent="0.55000000000000004">
      <c r="A943" s="349"/>
      <c r="B943" s="349"/>
      <c r="C943" s="349"/>
      <c r="D943" s="349"/>
      <c r="E943" s="352"/>
      <c r="F943" s="352"/>
      <c r="G943" s="352"/>
      <c r="H943" s="352"/>
      <c r="I943" s="352"/>
      <c r="J943" s="352"/>
      <c r="K943" s="353"/>
      <c r="L943" s="354"/>
      <c r="M943" s="354"/>
      <c r="N943" s="355"/>
    </row>
    <row r="944" spans="1:14" ht="21.75" customHeight="1" x14ac:dyDescent="0.55000000000000004">
      <c r="A944" s="349"/>
      <c r="B944" s="349"/>
      <c r="C944" s="349"/>
      <c r="D944" s="349"/>
      <c r="E944" s="352"/>
      <c r="F944" s="352"/>
      <c r="G944" s="352"/>
      <c r="H944" s="352"/>
      <c r="I944" s="352"/>
      <c r="J944" s="352"/>
      <c r="K944" s="353"/>
      <c r="L944" s="354"/>
      <c r="M944" s="354"/>
      <c r="N944" s="355"/>
    </row>
    <row r="945" spans="1:14" ht="21.75" customHeight="1" x14ac:dyDescent="0.55000000000000004">
      <c r="A945" s="349"/>
      <c r="B945" s="349"/>
      <c r="C945" s="349"/>
      <c r="D945" s="349"/>
      <c r="E945" s="352"/>
      <c r="F945" s="352"/>
      <c r="G945" s="352"/>
      <c r="H945" s="352"/>
      <c r="I945" s="352"/>
      <c r="J945" s="352"/>
      <c r="K945" s="353"/>
      <c r="L945" s="354"/>
      <c r="M945" s="354"/>
      <c r="N945" s="355"/>
    </row>
    <row r="946" spans="1:14" ht="21.75" customHeight="1" x14ac:dyDescent="0.55000000000000004">
      <c r="A946" s="349"/>
      <c r="B946" s="349"/>
      <c r="C946" s="349"/>
      <c r="D946" s="349"/>
      <c r="E946" s="352"/>
      <c r="F946" s="352"/>
      <c r="G946" s="352"/>
      <c r="H946" s="352"/>
      <c r="I946" s="352"/>
      <c r="J946" s="352"/>
      <c r="K946" s="353"/>
      <c r="L946" s="354"/>
      <c r="M946" s="354"/>
      <c r="N946" s="355"/>
    </row>
    <row r="947" spans="1:14" ht="21.75" customHeight="1" x14ac:dyDescent="0.55000000000000004">
      <c r="A947" s="349"/>
      <c r="B947" s="349"/>
      <c r="C947" s="349"/>
      <c r="D947" s="349"/>
      <c r="E947" s="352"/>
      <c r="F947" s="352"/>
      <c r="G947" s="352"/>
      <c r="H947" s="352"/>
      <c r="I947" s="352"/>
      <c r="J947" s="352"/>
      <c r="K947" s="353"/>
      <c r="L947" s="354"/>
      <c r="M947" s="354"/>
      <c r="N947" s="355"/>
    </row>
    <row r="948" spans="1:14" ht="21.75" customHeight="1" x14ac:dyDescent="0.55000000000000004">
      <c r="A948" s="349"/>
      <c r="B948" s="349"/>
      <c r="C948" s="349"/>
      <c r="D948" s="349"/>
      <c r="E948" s="352"/>
      <c r="F948" s="352"/>
      <c r="G948" s="352"/>
      <c r="H948" s="352"/>
      <c r="I948" s="352"/>
      <c r="J948" s="352"/>
      <c r="K948" s="353"/>
      <c r="L948" s="354"/>
      <c r="M948" s="354"/>
      <c r="N948" s="355"/>
    </row>
    <row r="949" spans="1:14" ht="21.75" customHeight="1" x14ac:dyDescent="0.55000000000000004">
      <c r="A949" s="349"/>
      <c r="B949" s="349"/>
      <c r="C949" s="349"/>
      <c r="D949" s="349"/>
      <c r="E949" s="352"/>
      <c r="F949" s="352"/>
      <c r="G949" s="352"/>
      <c r="H949" s="352"/>
      <c r="I949" s="352"/>
      <c r="J949" s="352"/>
      <c r="K949" s="353"/>
      <c r="L949" s="354"/>
      <c r="M949" s="354"/>
      <c r="N949" s="355"/>
    </row>
    <row r="950" spans="1:14" ht="21.75" customHeight="1" x14ac:dyDescent="0.55000000000000004">
      <c r="A950" s="349"/>
      <c r="B950" s="349"/>
      <c r="C950" s="349"/>
      <c r="D950" s="349"/>
      <c r="E950" s="352"/>
      <c r="F950" s="352"/>
      <c r="G950" s="352"/>
      <c r="H950" s="352"/>
      <c r="I950" s="352"/>
      <c r="J950" s="352"/>
      <c r="K950" s="353"/>
      <c r="L950" s="354"/>
      <c r="M950" s="354"/>
      <c r="N950" s="355"/>
    </row>
    <row r="951" spans="1:14" ht="21.75" customHeight="1" x14ac:dyDescent="0.55000000000000004">
      <c r="A951" s="349"/>
      <c r="B951" s="349"/>
      <c r="C951" s="349"/>
      <c r="D951" s="349"/>
      <c r="E951" s="352"/>
      <c r="F951" s="352"/>
      <c r="G951" s="352"/>
      <c r="H951" s="352"/>
      <c r="I951" s="352"/>
      <c r="J951" s="352"/>
      <c r="K951" s="353"/>
      <c r="L951" s="354"/>
      <c r="M951" s="354"/>
      <c r="N951" s="355"/>
    </row>
    <row r="952" spans="1:14" ht="21.75" customHeight="1" x14ac:dyDescent="0.55000000000000004">
      <c r="A952" s="349"/>
      <c r="B952" s="349"/>
      <c r="C952" s="349"/>
      <c r="D952" s="349"/>
      <c r="E952" s="352"/>
      <c r="F952" s="352"/>
      <c r="G952" s="352"/>
      <c r="H952" s="352"/>
      <c r="I952" s="352"/>
      <c r="J952" s="352"/>
      <c r="K952" s="353"/>
      <c r="L952" s="354"/>
      <c r="M952" s="354"/>
      <c r="N952" s="355"/>
    </row>
    <row r="953" spans="1:14" ht="21.75" customHeight="1" x14ac:dyDescent="0.55000000000000004">
      <c r="A953" s="349"/>
      <c r="B953" s="349"/>
      <c r="C953" s="349"/>
      <c r="D953" s="349"/>
      <c r="E953" s="352"/>
      <c r="F953" s="352"/>
      <c r="G953" s="352"/>
      <c r="H953" s="352"/>
      <c r="I953" s="352"/>
      <c r="J953" s="352"/>
      <c r="K953" s="353"/>
      <c r="L953" s="354"/>
      <c r="M953" s="354"/>
      <c r="N953" s="355"/>
    </row>
    <row r="954" spans="1:14" ht="21.75" customHeight="1" x14ac:dyDescent="0.55000000000000004">
      <c r="A954" s="349"/>
      <c r="B954" s="349"/>
      <c r="C954" s="349"/>
      <c r="D954" s="349"/>
      <c r="E954" s="352"/>
      <c r="F954" s="352"/>
      <c r="G954" s="352"/>
      <c r="H954" s="352"/>
      <c r="I954" s="352"/>
      <c r="J954" s="352"/>
      <c r="K954" s="353"/>
      <c r="L954" s="354"/>
      <c r="M954" s="354"/>
      <c r="N954" s="355"/>
    </row>
    <row r="955" spans="1:14" ht="21.75" customHeight="1" x14ac:dyDescent="0.55000000000000004">
      <c r="A955" s="349"/>
      <c r="B955" s="349"/>
      <c r="C955" s="349"/>
      <c r="D955" s="349"/>
      <c r="E955" s="352"/>
      <c r="F955" s="352"/>
      <c r="G955" s="352"/>
      <c r="H955" s="352"/>
      <c r="I955" s="352"/>
      <c r="J955" s="352"/>
      <c r="K955" s="353"/>
      <c r="L955" s="354"/>
      <c r="M955" s="354"/>
      <c r="N955" s="355"/>
    </row>
    <row r="956" spans="1:14" ht="21.75" customHeight="1" x14ac:dyDescent="0.55000000000000004">
      <c r="A956" s="349"/>
      <c r="B956" s="349"/>
      <c r="C956" s="349"/>
      <c r="D956" s="349"/>
      <c r="E956" s="352"/>
      <c r="F956" s="352"/>
      <c r="G956" s="352"/>
      <c r="H956" s="352"/>
      <c r="I956" s="352"/>
      <c r="J956" s="352"/>
      <c r="K956" s="353"/>
      <c r="L956" s="354"/>
      <c r="M956" s="354"/>
      <c r="N956" s="355"/>
    </row>
    <row r="957" spans="1:14" ht="21.75" customHeight="1" x14ac:dyDescent="0.55000000000000004">
      <c r="A957" s="349"/>
      <c r="B957" s="349"/>
      <c r="C957" s="349"/>
      <c r="D957" s="349"/>
      <c r="E957" s="352"/>
      <c r="F957" s="352"/>
      <c r="G957" s="352"/>
      <c r="H957" s="352"/>
      <c r="I957" s="352"/>
      <c r="J957" s="352"/>
      <c r="K957" s="353"/>
      <c r="L957" s="354"/>
      <c r="M957" s="354"/>
      <c r="N957" s="355"/>
    </row>
    <row r="958" spans="1:14" ht="21.75" customHeight="1" x14ac:dyDescent="0.55000000000000004">
      <c r="A958" s="349"/>
      <c r="B958" s="349"/>
      <c r="C958" s="349"/>
      <c r="D958" s="349"/>
      <c r="E958" s="352"/>
      <c r="F958" s="352"/>
      <c r="G958" s="352"/>
      <c r="H958" s="352"/>
      <c r="I958" s="352"/>
      <c r="J958" s="352"/>
      <c r="K958" s="353"/>
      <c r="L958" s="354"/>
      <c r="M958" s="354"/>
      <c r="N958" s="355"/>
    </row>
    <row r="959" spans="1:14" ht="21.75" customHeight="1" x14ac:dyDescent="0.55000000000000004">
      <c r="A959" s="349"/>
      <c r="B959" s="349"/>
      <c r="C959" s="349"/>
      <c r="D959" s="349"/>
      <c r="E959" s="352"/>
      <c r="F959" s="352"/>
      <c r="G959" s="352"/>
      <c r="H959" s="352"/>
      <c r="I959" s="352"/>
      <c r="J959" s="352"/>
      <c r="K959" s="353"/>
      <c r="L959" s="354"/>
      <c r="M959" s="354"/>
      <c r="N959" s="355"/>
    </row>
    <row r="960" spans="1:14" ht="21.75" customHeight="1" x14ac:dyDescent="0.55000000000000004">
      <c r="A960" s="349"/>
      <c r="B960" s="349"/>
      <c r="C960" s="349"/>
      <c r="D960" s="349"/>
      <c r="E960" s="352"/>
      <c r="F960" s="352"/>
      <c r="G960" s="352"/>
      <c r="H960" s="352"/>
      <c r="I960" s="352"/>
      <c r="J960" s="352"/>
      <c r="K960" s="353"/>
      <c r="L960" s="354"/>
      <c r="M960" s="354"/>
      <c r="N960" s="355"/>
    </row>
    <row r="961" spans="1:14" ht="21.75" customHeight="1" x14ac:dyDescent="0.55000000000000004">
      <c r="A961" s="349"/>
      <c r="B961" s="349"/>
      <c r="C961" s="349"/>
      <c r="D961" s="349"/>
      <c r="E961" s="352"/>
      <c r="F961" s="352"/>
      <c r="G961" s="352"/>
      <c r="H961" s="352"/>
      <c r="I961" s="352"/>
      <c r="J961" s="352"/>
      <c r="K961" s="353"/>
      <c r="L961" s="354"/>
      <c r="M961" s="354"/>
      <c r="N961" s="355"/>
    </row>
    <row r="962" spans="1:14" ht="21.75" customHeight="1" x14ac:dyDescent="0.55000000000000004">
      <c r="A962" s="349"/>
      <c r="B962" s="349"/>
      <c r="C962" s="349"/>
      <c r="D962" s="349"/>
      <c r="E962" s="352"/>
      <c r="F962" s="352"/>
      <c r="G962" s="352"/>
      <c r="H962" s="352"/>
      <c r="I962" s="352"/>
      <c r="J962" s="352"/>
      <c r="K962" s="353"/>
      <c r="L962" s="354"/>
      <c r="M962" s="354"/>
      <c r="N962" s="355"/>
    </row>
    <row r="963" spans="1:14" ht="21.75" customHeight="1" x14ac:dyDescent="0.55000000000000004">
      <c r="A963" s="349"/>
      <c r="B963" s="349"/>
      <c r="C963" s="349"/>
      <c r="D963" s="349"/>
      <c r="E963" s="352"/>
      <c r="F963" s="352"/>
      <c r="G963" s="352"/>
      <c r="H963" s="352"/>
      <c r="I963" s="352"/>
      <c r="J963" s="352"/>
      <c r="K963" s="353"/>
      <c r="L963" s="354"/>
      <c r="M963" s="354"/>
      <c r="N963" s="355"/>
    </row>
    <row r="964" spans="1:14" ht="21.75" customHeight="1" x14ac:dyDescent="0.55000000000000004">
      <c r="A964" s="349"/>
      <c r="B964" s="349"/>
      <c r="C964" s="349"/>
      <c r="D964" s="349"/>
      <c r="E964" s="352"/>
      <c r="F964" s="352"/>
      <c r="G964" s="352"/>
      <c r="H964" s="352"/>
      <c r="I964" s="352"/>
      <c r="J964" s="352"/>
      <c r="K964" s="353"/>
      <c r="L964" s="354"/>
      <c r="M964" s="354"/>
      <c r="N964" s="355"/>
    </row>
    <row r="965" spans="1:14" ht="21.75" customHeight="1" x14ac:dyDescent="0.55000000000000004">
      <c r="A965" s="349"/>
      <c r="B965" s="349"/>
      <c r="C965" s="349"/>
      <c r="D965" s="349"/>
      <c r="E965" s="352"/>
      <c r="F965" s="352"/>
      <c r="G965" s="352"/>
      <c r="H965" s="352"/>
      <c r="I965" s="352"/>
      <c r="J965" s="352"/>
      <c r="K965" s="353"/>
      <c r="L965" s="354"/>
      <c r="M965" s="354"/>
      <c r="N965" s="355"/>
    </row>
    <row r="966" spans="1:14" ht="21.75" customHeight="1" x14ac:dyDescent="0.55000000000000004">
      <c r="A966" s="349"/>
      <c r="B966" s="349"/>
      <c r="C966" s="349"/>
      <c r="D966" s="349"/>
      <c r="E966" s="352"/>
      <c r="F966" s="352"/>
      <c r="G966" s="352"/>
      <c r="H966" s="352"/>
      <c r="I966" s="352"/>
      <c r="J966" s="352"/>
      <c r="K966" s="353"/>
      <c r="L966" s="354"/>
      <c r="M966" s="354"/>
      <c r="N966" s="355"/>
    </row>
    <row r="967" spans="1:14" ht="21.75" customHeight="1" x14ac:dyDescent="0.55000000000000004">
      <c r="A967" s="349"/>
      <c r="B967" s="349"/>
      <c r="C967" s="349"/>
      <c r="D967" s="349"/>
      <c r="E967" s="352"/>
      <c r="F967" s="352"/>
      <c r="G967" s="352"/>
      <c r="H967" s="352"/>
      <c r="I967" s="352"/>
      <c r="J967" s="352"/>
      <c r="K967" s="353"/>
      <c r="L967" s="354"/>
      <c r="M967" s="354"/>
      <c r="N967" s="355"/>
    </row>
    <row r="968" spans="1:14" ht="21.75" customHeight="1" x14ac:dyDescent="0.55000000000000004">
      <c r="A968" s="349"/>
      <c r="B968" s="349"/>
      <c r="C968" s="349"/>
      <c r="D968" s="349"/>
      <c r="E968" s="352"/>
      <c r="F968" s="352"/>
      <c r="G968" s="352"/>
      <c r="H968" s="352"/>
      <c r="I968" s="352"/>
      <c r="J968" s="352"/>
      <c r="K968" s="353"/>
      <c r="L968" s="354"/>
      <c r="M968" s="354"/>
      <c r="N968" s="355"/>
    </row>
    <row r="969" spans="1:14" ht="21.75" customHeight="1" x14ac:dyDescent="0.55000000000000004">
      <c r="A969" s="349"/>
      <c r="B969" s="349"/>
      <c r="C969" s="349"/>
      <c r="D969" s="349"/>
      <c r="E969" s="352"/>
      <c r="F969" s="352"/>
      <c r="G969" s="352"/>
      <c r="H969" s="352"/>
      <c r="I969" s="352"/>
      <c r="J969" s="352"/>
      <c r="K969" s="353"/>
      <c r="L969" s="354"/>
      <c r="M969" s="354"/>
      <c r="N969" s="355"/>
    </row>
    <row r="970" spans="1:14" ht="21.75" customHeight="1" x14ac:dyDescent="0.55000000000000004">
      <c r="A970" s="349"/>
      <c r="B970" s="349"/>
      <c r="C970" s="349"/>
      <c r="D970" s="349"/>
      <c r="E970" s="352"/>
      <c r="F970" s="352"/>
      <c r="G970" s="352"/>
      <c r="H970" s="352"/>
      <c r="I970" s="352"/>
      <c r="J970" s="352"/>
      <c r="K970" s="353"/>
      <c r="L970" s="354"/>
      <c r="M970" s="354"/>
      <c r="N970" s="355"/>
    </row>
    <row r="971" spans="1:14" ht="21.75" customHeight="1" x14ac:dyDescent="0.55000000000000004">
      <c r="A971" s="349"/>
      <c r="B971" s="349"/>
      <c r="C971" s="349"/>
      <c r="D971" s="349"/>
      <c r="E971" s="352"/>
      <c r="F971" s="352"/>
      <c r="G971" s="352"/>
      <c r="H971" s="352"/>
      <c r="I971" s="352"/>
      <c r="J971" s="352"/>
      <c r="K971" s="353"/>
      <c r="L971" s="354"/>
      <c r="M971" s="354"/>
      <c r="N971" s="355"/>
    </row>
    <row r="972" spans="1:14" ht="21.75" customHeight="1" x14ac:dyDescent="0.55000000000000004">
      <c r="A972" s="349"/>
      <c r="B972" s="349"/>
      <c r="C972" s="349"/>
      <c r="D972" s="349"/>
      <c r="E972" s="352"/>
      <c r="F972" s="352"/>
      <c r="G972" s="352"/>
      <c r="H972" s="352"/>
      <c r="I972" s="352"/>
      <c r="J972" s="352"/>
      <c r="K972" s="353"/>
      <c r="L972" s="354"/>
      <c r="M972" s="354"/>
      <c r="N972" s="355"/>
    </row>
    <row r="973" spans="1:14" ht="21.75" customHeight="1" x14ac:dyDescent="0.55000000000000004">
      <c r="A973" s="349"/>
      <c r="B973" s="349"/>
      <c r="C973" s="349"/>
      <c r="D973" s="349"/>
      <c r="E973" s="352"/>
      <c r="F973" s="352"/>
      <c r="G973" s="352"/>
      <c r="H973" s="352"/>
      <c r="I973" s="352"/>
      <c r="J973" s="352"/>
      <c r="K973" s="353"/>
      <c r="L973" s="354"/>
      <c r="M973" s="354"/>
      <c r="N973" s="355"/>
    </row>
    <row r="974" spans="1:14" ht="21.75" customHeight="1" x14ac:dyDescent="0.55000000000000004">
      <c r="A974" s="349"/>
      <c r="B974" s="349"/>
      <c r="C974" s="349"/>
      <c r="D974" s="349"/>
      <c r="E974" s="352"/>
      <c r="F974" s="352"/>
      <c r="G974" s="352"/>
      <c r="H974" s="352"/>
      <c r="I974" s="352"/>
      <c r="J974" s="352"/>
      <c r="K974" s="353"/>
      <c r="L974" s="354"/>
      <c r="M974" s="354"/>
      <c r="N974" s="355"/>
    </row>
    <row r="975" spans="1:14" ht="21.75" customHeight="1" x14ac:dyDescent="0.55000000000000004">
      <c r="A975" s="349"/>
      <c r="B975" s="349"/>
      <c r="C975" s="349"/>
      <c r="D975" s="349"/>
      <c r="E975" s="352"/>
      <c r="F975" s="352"/>
      <c r="G975" s="352"/>
      <c r="H975" s="352"/>
      <c r="I975" s="352"/>
      <c r="J975" s="352"/>
      <c r="K975" s="353"/>
      <c r="L975" s="354"/>
      <c r="M975" s="354"/>
      <c r="N975" s="355"/>
    </row>
    <row r="976" spans="1:14" ht="21.75" customHeight="1" x14ac:dyDescent="0.55000000000000004">
      <c r="A976" s="349"/>
      <c r="B976" s="349"/>
      <c r="C976" s="349"/>
      <c r="D976" s="349"/>
      <c r="E976" s="352"/>
      <c r="F976" s="352"/>
      <c r="G976" s="352"/>
      <c r="H976" s="352"/>
      <c r="I976" s="352"/>
      <c r="J976" s="352"/>
      <c r="K976" s="353"/>
      <c r="L976" s="354"/>
      <c r="M976" s="354"/>
      <c r="N976" s="355"/>
    </row>
    <row r="977" spans="1:14" ht="21.75" customHeight="1" x14ac:dyDescent="0.55000000000000004">
      <c r="A977" s="349"/>
      <c r="B977" s="349"/>
      <c r="C977" s="349"/>
      <c r="D977" s="349"/>
      <c r="E977" s="352"/>
      <c r="F977" s="352"/>
      <c r="G977" s="352"/>
      <c r="H977" s="352"/>
      <c r="I977" s="352"/>
      <c r="J977" s="352"/>
      <c r="K977" s="353"/>
      <c r="L977" s="354"/>
      <c r="M977" s="354"/>
      <c r="N977" s="355"/>
    </row>
    <row r="978" spans="1:14" ht="21.75" customHeight="1" x14ac:dyDescent="0.55000000000000004">
      <c r="A978" s="349"/>
      <c r="B978" s="349"/>
      <c r="C978" s="349"/>
      <c r="D978" s="349"/>
      <c r="E978" s="352"/>
      <c r="F978" s="352"/>
      <c r="G978" s="352"/>
      <c r="H978" s="352"/>
      <c r="I978" s="352"/>
      <c r="J978" s="352"/>
      <c r="K978" s="353"/>
      <c r="L978" s="354"/>
      <c r="M978" s="354"/>
      <c r="N978" s="355"/>
    </row>
    <row r="979" spans="1:14" ht="21.75" customHeight="1" x14ac:dyDescent="0.55000000000000004">
      <c r="A979" s="349"/>
      <c r="B979" s="349"/>
      <c r="C979" s="349"/>
      <c r="D979" s="349"/>
      <c r="E979" s="352"/>
      <c r="F979" s="352"/>
      <c r="G979" s="352"/>
      <c r="H979" s="352"/>
      <c r="I979" s="352"/>
      <c r="J979" s="352"/>
      <c r="K979" s="353"/>
      <c r="L979" s="354"/>
      <c r="M979" s="354"/>
      <c r="N979" s="355"/>
    </row>
    <row r="980" spans="1:14" ht="21.75" customHeight="1" x14ac:dyDescent="0.55000000000000004">
      <c r="A980" s="349"/>
      <c r="B980" s="349"/>
      <c r="C980" s="349"/>
      <c r="D980" s="349"/>
      <c r="E980" s="352"/>
      <c r="F980" s="352"/>
      <c r="G980" s="352"/>
      <c r="H980" s="352"/>
      <c r="I980" s="352"/>
      <c r="J980" s="352"/>
      <c r="K980" s="353"/>
      <c r="L980" s="354"/>
      <c r="M980" s="354"/>
      <c r="N980" s="355"/>
    </row>
    <row r="981" spans="1:14" ht="21.75" customHeight="1" x14ac:dyDescent="0.55000000000000004">
      <c r="A981" s="349"/>
      <c r="B981" s="349"/>
      <c r="C981" s="349"/>
      <c r="D981" s="349"/>
      <c r="E981" s="352"/>
      <c r="F981" s="352"/>
      <c r="G981" s="352"/>
      <c r="H981" s="352"/>
      <c r="I981" s="352"/>
      <c r="J981" s="352"/>
      <c r="K981" s="353"/>
      <c r="L981" s="354"/>
      <c r="M981" s="354"/>
      <c r="N981" s="355"/>
    </row>
    <row r="982" spans="1:14" ht="21.75" customHeight="1" x14ac:dyDescent="0.55000000000000004">
      <c r="A982" s="349"/>
      <c r="B982" s="349"/>
      <c r="C982" s="349"/>
      <c r="D982" s="349"/>
      <c r="E982" s="352"/>
      <c r="F982" s="352"/>
      <c r="G982" s="352"/>
      <c r="H982" s="352"/>
      <c r="I982" s="352"/>
      <c r="J982" s="352"/>
      <c r="K982" s="353"/>
      <c r="L982" s="354"/>
      <c r="M982" s="354"/>
      <c r="N982" s="355"/>
    </row>
    <row r="983" spans="1:14" ht="21.75" customHeight="1" x14ac:dyDescent="0.55000000000000004">
      <c r="A983" s="349"/>
      <c r="B983" s="349"/>
      <c r="C983" s="349"/>
      <c r="D983" s="349"/>
      <c r="E983" s="352"/>
      <c r="F983" s="352"/>
      <c r="G983" s="352"/>
      <c r="H983" s="352"/>
      <c r="I983" s="352"/>
      <c r="J983" s="352"/>
      <c r="K983" s="353"/>
      <c r="L983" s="354"/>
      <c r="M983" s="354"/>
      <c r="N983" s="355"/>
    </row>
    <row r="984" spans="1:14" ht="21.75" customHeight="1" x14ac:dyDescent="0.55000000000000004">
      <c r="A984" s="349"/>
      <c r="B984" s="349"/>
      <c r="C984" s="349"/>
      <c r="D984" s="349"/>
      <c r="E984" s="352"/>
      <c r="F984" s="352"/>
      <c r="G984" s="352"/>
      <c r="H984" s="352"/>
      <c r="I984" s="352"/>
      <c r="J984" s="352"/>
      <c r="K984" s="353"/>
      <c r="L984" s="354"/>
      <c r="M984" s="354"/>
      <c r="N984" s="355"/>
    </row>
    <row r="985" spans="1:14" ht="21.75" customHeight="1" x14ac:dyDescent="0.55000000000000004">
      <c r="A985" s="349"/>
      <c r="B985" s="349"/>
      <c r="C985" s="349"/>
      <c r="D985" s="349"/>
      <c r="E985" s="352"/>
      <c r="F985" s="352"/>
      <c r="G985" s="352"/>
      <c r="H985" s="352"/>
      <c r="I985" s="352"/>
      <c r="J985" s="352"/>
      <c r="K985" s="353"/>
      <c r="L985" s="354"/>
      <c r="M985" s="354"/>
      <c r="N985" s="355"/>
    </row>
    <row r="986" spans="1:14" ht="21.75" customHeight="1" x14ac:dyDescent="0.55000000000000004">
      <c r="A986" s="349"/>
      <c r="B986" s="349"/>
      <c r="C986" s="349"/>
      <c r="D986" s="349"/>
      <c r="E986" s="352"/>
      <c r="F986" s="352"/>
      <c r="G986" s="352"/>
      <c r="H986" s="352"/>
      <c r="I986" s="352"/>
      <c r="J986" s="352"/>
      <c r="K986" s="353"/>
      <c r="L986" s="354"/>
      <c r="M986" s="354"/>
      <c r="N986" s="355"/>
    </row>
    <row r="987" spans="1:14" ht="21.75" customHeight="1" x14ac:dyDescent="0.55000000000000004">
      <c r="A987" s="349"/>
      <c r="B987" s="349"/>
      <c r="C987" s="349"/>
      <c r="D987" s="349"/>
      <c r="E987" s="352"/>
      <c r="F987" s="352"/>
      <c r="G987" s="352"/>
      <c r="H987" s="352"/>
      <c r="I987" s="352"/>
      <c r="J987" s="352"/>
      <c r="K987" s="353"/>
      <c r="L987" s="354"/>
      <c r="M987" s="354"/>
      <c r="N987" s="355"/>
    </row>
    <row r="988" spans="1:14" ht="21.75" customHeight="1" x14ac:dyDescent="0.55000000000000004">
      <c r="A988" s="349"/>
      <c r="B988" s="349"/>
      <c r="C988" s="349"/>
      <c r="D988" s="349"/>
      <c r="E988" s="352"/>
      <c r="F988" s="352"/>
      <c r="G988" s="352"/>
      <c r="H988" s="352"/>
      <c r="I988" s="352"/>
      <c r="J988" s="352"/>
      <c r="K988" s="353"/>
      <c r="L988" s="354"/>
      <c r="M988" s="354"/>
      <c r="N988" s="355"/>
    </row>
    <row r="989" spans="1:14" ht="21.75" customHeight="1" x14ac:dyDescent="0.55000000000000004">
      <c r="A989" s="349"/>
      <c r="B989" s="349"/>
      <c r="C989" s="349"/>
      <c r="D989" s="349"/>
      <c r="E989" s="352"/>
      <c r="F989" s="352"/>
      <c r="G989" s="352"/>
      <c r="H989" s="352"/>
      <c r="I989" s="352"/>
      <c r="J989" s="352"/>
      <c r="K989" s="353"/>
      <c r="L989" s="354"/>
      <c r="M989" s="354"/>
      <c r="N989" s="355"/>
    </row>
    <row r="990" spans="1:14" ht="21.75" customHeight="1" x14ac:dyDescent="0.55000000000000004">
      <c r="A990" s="349"/>
      <c r="B990" s="349"/>
      <c r="C990" s="349"/>
      <c r="D990" s="349"/>
      <c r="E990" s="352"/>
      <c r="F990" s="352"/>
      <c r="G990" s="352"/>
      <c r="H990" s="352"/>
      <c r="I990" s="352"/>
      <c r="J990" s="352"/>
      <c r="K990" s="353"/>
      <c r="L990" s="354"/>
      <c r="M990" s="354"/>
      <c r="N990" s="355"/>
    </row>
    <row r="991" spans="1:14" ht="21.75" customHeight="1" x14ac:dyDescent="0.55000000000000004">
      <c r="A991" s="349"/>
      <c r="B991" s="349"/>
      <c r="C991" s="349"/>
      <c r="D991" s="349"/>
      <c r="E991" s="352"/>
      <c r="F991" s="352"/>
      <c r="G991" s="352"/>
      <c r="H991" s="352"/>
      <c r="I991" s="352"/>
      <c r="J991" s="352"/>
      <c r="K991" s="353"/>
      <c r="L991" s="354"/>
      <c r="M991" s="354"/>
      <c r="N991" s="355"/>
    </row>
    <row r="992" spans="1:14" ht="21.75" customHeight="1" x14ac:dyDescent="0.55000000000000004">
      <c r="A992" s="349"/>
      <c r="B992" s="349"/>
      <c r="C992" s="349"/>
      <c r="D992" s="349"/>
      <c r="E992" s="352"/>
      <c r="F992" s="352"/>
      <c r="G992" s="352"/>
      <c r="H992" s="352"/>
      <c r="I992" s="352"/>
      <c r="J992" s="352"/>
      <c r="K992" s="353"/>
      <c r="L992" s="354"/>
      <c r="M992" s="354"/>
      <c r="N992" s="355"/>
    </row>
    <row r="993" spans="1:14" ht="21.75" customHeight="1" x14ac:dyDescent="0.55000000000000004">
      <c r="A993" s="349"/>
      <c r="B993" s="349"/>
      <c r="C993" s="349"/>
      <c r="D993" s="349"/>
      <c r="E993" s="352"/>
      <c r="F993" s="352"/>
      <c r="G993" s="352"/>
      <c r="H993" s="352"/>
      <c r="I993" s="352"/>
      <c r="J993" s="352"/>
      <c r="K993" s="353"/>
      <c r="L993" s="354"/>
      <c r="M993" s="354"/>
      <c r="N993" s="355"/>
    </row>
    <row r="994" spans="1:14" ht="21.75" customHeight="1" x14ac:dyDescent="0.55000000000000004">
      <c r="A994" s="349"/>
      <c r="B994" s="349"/>
      <c r="C994" s="349"/>
      <c r="D994" s="349"/>
      <c r="E994" s="352"/>
      <c r="F994" s="352"/>
      <c r="G994" s="352"/>
      <c r="H994" s="352"/>
      <c r="I994" s="352"/>
      <c r="J994" s="352"/>
      <c r="K994" s="353"/>
      <c r="L994" s="354"/>
      <c r="M994" s="354"/>
      <c r="N994" s="355"/>
    </row>
    <row r="995" spans="1:14" ht="21.75" customHeight="1" x14ac:dyDescent="0.55000000000000004">
      <c r="A995" s="349"/>
      <c r="B995" s="349"/>
      <c r="C995" s="349"/>
      <c r="D995" s="349"/>
      <c r="E995" s="352"/>
      <c r="F995" s="352"/>
      <c r="G995" s="352"/>
      <c r="H995" s="352"/>
      <c r="I995" s="352"/>
      <c r="J995" s="352"/>
      <c r="K995" s="353"/>
      <c r="L995" s="354"/>
      <c r="M995" s="354"/>
      <c r="N995" s="355"/>
    </row>
    <row r="996" spans="1:14" ht="21.75" customHeight="1" x14ac:dyDescent="0.55000000000000004">
      <c r="A996" s="349"/>
      <c r="B996" s="349"/>
      <c r="C996" s="349"/>
      <c r="D996" s="349"/>
      <c r="E996" s="352"/>
      <c r="F996" s="352"/>
      <c r="G996" s="352"/>
      <c r="H996" s="352"/>
      <c r="I996" s="352"/>
      <c r="J996" s="352"/>
      <c r="K996" s="353"/>
      <c r="L996" s="354"/>
      <c r="M996" s="354"/>
      <c r="N996" s="355"/>
    </row>
    <row r="997" spans="1:14" ht="21.75" customHeight="1" x14ac:dyDescent="0.55000000000000004">
      <c r="A997" s="349"/>
      <c r="B997" s="349"/>
      <c r="C997" s="349"/>
      <c r="D997" s="349"/>
      <c r="E997" s="352"/>
      <c r="F997" s="352"/>
      <c r="G997" s="352"/>
      <c r="H997" s="352"/>
      <c r="I997" s="352"/>
      <c r="J997" s="352"/>
      <c r="K997" s="353"/>
      <c r="L997" s="354"/>
      <c r="M997" s="354"/>
      <c r="N997" s="355"/>
    </row>
    <row r="998" spans="1:14" ht="21.75" customHeight="1" x14ac:dyDescent="0.55000000000000004">
      <c r="A998" s="349"/>
      <c r="B998" s="349"/>
      <c r="C998" s="349"/>
      <c r="D998" s="349"/>
      <c r="E998" s="352"/>
      <c r="F998" s="352"/>
      <c r="G998" s="352"/>
      <c r="H998" s="352"/>
      <c r="I998" s="352"/>
      <c r="J998" s="352"/>
      <c r="K998" s="353"/>
      <c r="L998" s="354"/>
      <c r="M998" s="354"/>
      <c r="N998" s="355"/>
    </row>
    <row r="999" spans="1:14" ht="21.75" customHeight="1" x14ac:dyDescent="0.55000000000000004">
      <c r="A999" s="349"/>
      <c r="B999" s="349"/>
      <c r="C999" s="349"/>
      <c r="D999" s="349"/>
      <c r="E999" s="352"/>
      <c r="F999" s="352"/>
      <c r="G999" s="352"/>
      <c r="H999" s="352"/>
      <c r="I999" s="352"/>
      <c r="J999" s="352"/>
      <c r="K999" s="353"/>
      <c r="L999" s="354"/>
      <c r="M999" s="354"/>
      <c r="N999" s="355"/>
    </row>
    <row r="1000" spans="1:14" ht="21.75" customHeight="1" x14ac:dyDescent="0.55000000000000004">
      <c r="A1000" s="349"/>
      <c r="B1000" s="349"/>
      <c r="C1000" s="349"/>
      <c r="D1000" s="349"/>
      <c r="E1000" s="352"/>
      <c r="F1000" s="352"/>
      <c r="G1000" s="352"/>
      <c r="H1000" s="352"/>
      <c r="I1000" s="352"/>
      <c r="J1000" s="352"/>
      <c r="K1000" s="353"/>
      <c r="L1000" s="354"/>
      <c r="M1000" s="354"/>
      <c r="N1000" s="355"/>
    </row>
    <row r="1001" spans="1:14" ht="21.75" customHeight="1" x14ac:dyDescent="0.55000000000000004">
      <c r="A1001" s="349"/>
      <c r="B1001" s="349"/>
      <c r="C1001" s="349"/>
      <c r="D1001" s="349"/>
      <c r="E1001" s="352"/>
      <c r="F1001" s="352"/>
      <c r="G1001" s="352"/>
      <c r="H1001" s="352"/>
      <c r="I1001" s="352"/>
      <c r="J1001" s="352"/>
      <c r="K1001" s="353"/>
      <c r="L1001" s="354"/>
      <c r="M1001" s="354"/>
      <c r="N1001" s="355"/>
    </row>
    <row r="1002" spans="1:14" ht="21.75" customHeight="1" x14ac:dyDescent="0.55000000000000004">
      <c r="A1002" s="349"/>
      <c r="B1002" s="349"/>
      <c r="C1002" s="349"/>
      <c r="D1002" s="349"/>
      <c r="E1002" s="352"/>
      <c r="F1002" s="352"/>
      <c r="G1002" s="352"/>
      <c r="H1002" s="352"/>
      <c r="I1002" s="352"/>
      <c r="J1002" s="352"/>
      <c r="K1002" s="353"/>
      <c r="L1002" s="354"/>
      <c r="M1002" s="354"/>
      <c r="N1002" s="355"/>
    </row>
    <row r="1003" spans="1:14" ht="21.75" customHeight="1" x14ac:dyDescent="0.55000000000000004">
      <c r="A1003" s="349"/>
      <c r="B1003" s="349"/>
      <c r="C1003" s="349"/>
      <c r="D1003" s="349"/>
      <c r="E1003" s="352"/>
      <c r="F1003" s="352"/>
      <c r="G1003" s="352"/>
      <c r="H1003" s="352"/>
      <c r="I1003" s="352"/>
      <c r="J1003" s="352"/>
      <c r="K1003" s="353"/>
      <c r="L1003" s="354"/>
      <c r="M1003" s="354"/>
      <c r="N1003" s="355"/>
    </row>
    <row r="1004" spans="1:14" ht="21.75" customHeight="1" x14ac:dyDescent="0.55000000000000004">
      <c r="A1004" s="349"/>
      <c r="B1004" s="349"/>
      <c r="C1004" s="349"/>
      <c r="D1004" s="349"/>
      <c r="E1004" s="352"/>
      <c r="F1004" s="352"/>
      <c r="G1004" s="352"/>
      <c r="H1004" s="352"/>
      <c r="I1004" s="352"/>
      <c r="J1004" s="352"/>
      <c r="K1004" s="353"/>
      <c r="L1004" s="354"/>
      <c r="M1004" s="354"/>
      <c r="N1004" s="355"/>
    </row>
    <row r="1005" spans="1:14" ht="21.75" customHeight="1" x14ac:dyDescent="0.55000000000000004">
      <c r="A1005" s="349"/>
      <c r="B1005" s="349"/>
      <c r="C1005" s="349"/>
      <c r="D1005" s="349"/>
      <c r="E1005" s="352"/>
      <c r="F1005" s="352"/>
      <c r="G1005" s="352"/>
      <c r="H1005" s="352"/>
      <c r="I1005" s="352"/>
      <c r="J1005" s="352"/>
      <c r="K1005" s="353"/>
      <c r="L1005" s="354"/>
      <c r="M1005" s="354"/>
      <c r="N1005" s="355"/>
    </row>
    <row r="1006" spans="1:14" ht="21.75" customHeight="1" x14ac:dyDescent="0.55000000000000004">
      <c r="A1006" s="349"/>
      <c r="B1006" s="349"/>
      <c r="C1006" s="349"/>
      <c r="D1006" s="349"/>
      <c r="E1006" s="352"/>
      <c r="F1006" s="352"/>
      <c r="G1006" s="352"/>
      <c r="H1006" s="352"/>
      <c r="I1006" s="352"/>
      <c r="J1006" s="352"/>
      <c r="K1006" s="353"/>
      <c r="L1006" s="354"/>
      <c r="M1006" s="354"/>
      <c r="N1006" s="355"/>
    </row>
    <row r="1007" spans="1:14" ht="21.75" customHeight="1" x14ac:dyDescent="0.55000000000000004">
      <c r="A1007" s="349"/>
      <c r="B1007" s="349"/>
      <c r="C1007" s="349"/>
      <c r="D1007" s="349"/>
      <c r="E1007" s="352"/>
      <c r="F1007" s="352"/>
      <c r="G1007" s="352"/>
      <c r="H1007" s="352"/>
      <c r="I1007" s="352"/>
      <c r="J1007" s="352"/>
      <c r="K1007" s="353"/>
      <c r="L1007" s="354"/>
      <c r="M1007" s="354"/>
      <c r="N1007" s="355"/>
    </row>
    <row r="1008" spans="1:14" ht="21.75" customHeight="1" x14ac:dyDescent="0.55000000000000004">
      <c r="A1008" s="349"/>
      <c r="B1008" s="349"/>
      <c r="C1008" s="349"/>
      <c r="D1008" s="349"/>
      <c r="E1008" s="352"/>
      <c r="F1008" s="352"/>
      <c r="G1008" s="352"/>
      <c r="H1008" s="352"/>
      <c r="I1008" s="352"/>
      <c r="J1008" s="352"/>
      <c r="K1008" s="353"/>
      <c r="L1008" s="354"/>
      <c r="M1008" s="354"/>
      <c r="N1008" s="355"/>
    </row>
    <row r="1009" spans="1:14" ht="21.75" customHeight="1" x14ac:dyDescent="0.55000000000000004">
      <c r="A1009" s="349"/>
      <c r="B1009" s="349"/>
      <c r="C1009" s="349"/>
      <c r="D1009" s="349"/>
      <c r="E1009" s="352"/>
      <c r="F1009" s="352"/>
      <c r="G1009" s="352"/>
      <c r="H1009" s="352"/>
      <c r="I1009" s="352"/>
      <c r="J1009" s="352"/>
      <c r="K1009" s="353"/>
      <c r="L1009" s="354"/>
      <c r="M1009" s="354"/>
      <c r="N1009" s="355"/>
    </row>
    <row r="1010" spans="1:14" ht="21.75" customHeight="1" x14ac:dyDescent="0.55000000000000004">
      <c r="A1010" s="349"/>
      <c r="B1010" s="349"/>
      <c r="C1010" s="349"/>
      <c r="D1010" s="349"/>
      <c r="E1010" s="352"/>
      <c r="F1010" s="352"/>
      <c r="G1010" s="352"/>
      <c r="H1010" s="352"/>
      <c r="I1010" s="352"/>
      <c r="J1010" s="352"/>
      <c r="K1010" s="353"/>
      <c r="L1010" s="354"/>
      <c r="M1010" s="354"/>
      <c r="N1010" s="355"/>
    </row>
    <row r="1011" spans="1:14" ht="21.75" customHeight="1" x14ac:dyDescent="0.55000000000000004">
      <c r="A1011" s="349"/>
      <c r="B1011" s="349"/>
      <c r="C1011" s="349"/>
      <c r="D1011" s="349"/>
      <c r="E1011" s="352"/>
      <c r="F1011" s="352"/>
      <c r="G1011" s="352"/>
      <c r="H1011" s="352"/>
      <c r="I1011" s="352"/>
      <c r="J1011" s="352"/>
      <c r="K1011" s="353"/>
      <c r="L1011" s="354"/>
      <c r="M1011" s="354"/>
      <c r="N1011" s="355"/>
    </row>
    <row r="1012" spans="1:14" ht="21.75" customHeight="1" x14ac:dyDescent="0.55000000000000004">
      <c r="A1012" s="349"/>
      <c r="B1012" s="349"/>
      <c r="C1012" s="349"/>
      <c r="D1012" s="349"/>
      <c r="E1012" s="352"/>
      <c r="F1012" s="352"/>
      <c r="G1012" s="352"/>
      <c r="H1012" s="352"/>
      <c r="I1012" s="352"/>
      <c r="J1012" s="352"/>
      <c r="K1012" s="353"/>
      <c r="L1012" s="354"/>
      <c r="M1012" s="354"/>
      <c r="N1012" s="355"/>
    </row>
    <row r="1013" spans="1:14" ht="21.75" customHeight="1" x14ac:dyDescent="0.55000000000000004">
      <c r="A1013" s="349"/>
      <c r="B1013" s="349"/>
      <c r="C1013" s="349"/>
      <c r="D1013" s="349"/>
      <c r="E1013" s="352"/>
      <c r="F1013" s="352"/>
      <c r="G1013" s="352"/>
      <c r="H1013" s="352"/>
      <c r="I1013" s="352"/>
      <c r="J1013" s="352"/>
      <c r="K1013" s="353"/>
      <c r="L1013" s="354"/>
      <c r="M1013" s="354"/>
      <c r="N1013" s="355"/>
    </row>
    <row r="1014" spans="1:14" ht="21.75" customHeight="1" x14ac:dyDescent="0.55000000000000004">
      <c r="A1014" s="349"/>
      <c r="B1014" s="349"/>
      <c r="C1014" s="349"/>
      <c r="D1014" s="349"/>
      <c r="E1014" s="352"/>
      <c r="F1014" s="352"/>
      <c r="G1014" s="352"/>
      <c r="H1014" s="352"/>
      <c r="I1014" s="352"/>
      <c r="J1014" s="352"/>
      <c r="K1014" s="353"/>
      <c r="L1014" s="354"/>
      <c r="M1014" s="354"/>
      <c r="N1014" s="355"/>
    </row>
    <row r="1015" spans="1:14" ht="21.75" customHeight="1" x14ac:dyDescent="0.55000000000000004">
      <c r="A1015" s="349"/>
      <c r="B1015" s="349"/>
      <c r="C1015" s="349"/>
      <c r="D1015" s="349"/>
      <c r="E1015" s="352"/>
      <c r="F1015" s="352"/>
      <c r="G1015" s="352"/>
      <c r="H1015" s="352"/>
      <c r="I1015" s="352"/>
      <c r="J1015" s="352"/>
      <c r="K1015" s="353"/>
      <c r="L1015" s="354"/>
      <c r="M1015" s="354"/>
      <c r="N1015" s="355"/>
    </row>
    <row r="1016" spans="1:14" ht="21.75" customHeight="1" x14ac:dyDescent="0.55000000000000004">
      <c r="A1016" s="349"/>
      <c r="B1016" s="349"/>
      <c r="C1016" s="349"/>
      <c r="D1016" s="349"/>
      <c r="E1016" s="352"/>
      <c r="F1016" s="352"/>
      <c r="G1016" s="352"/>
      <c r="H1016" s="352"/>
      <c r="I1016" s="352"/>
      <c r="J1016" s="352"/>
      <c r="K1016" s="353"/>
      <c r="L1016" s="354"/>
      <c r="M1016" s="354"/>
      <c r="N1016" s="355"/>
    </row>
    <row r="1017" spans="1:14" ht="21.75" customHeight="1" x14ac:dyDescent="0.55000000000000004">
      <c r="A1017" s="349"/>
      <c r="B1017" s="349"/>
      <c r="C1017" s="349"/>
      <c r="D1017" s="349"/>
      <c r="E1017" s="352"/>
      <c r="F1017" s="352"/>
      <c r="G1017" s="352"/>
      <c r="H1017" s="352"/>
      <c r="I1017" s="352"/>
      <c r="J1017" s="352"/>
      <c r="K1017" s="353"/>
      <c r="L1017" s="354"/>
      <c r="M1017" s="354"/>
      <c r="N1017" s="355"/>
    </row>
    <row r="1018" spans="1:14" ht="21.75" customHeight="1" x14ac:dyDescent="0.55000000000000004">
      <c r="A1018" s="349"/>
      <c r="B1018" s="349"/>
      <c r="C1018" s="349"/>
      <c r="D1018" s="349"/>
      <c r="E1018" s="352"/>
      <c r="F1018" s="352"/>
      <c r="G1018" s="352"/>
      <c r="H1018" s="352"/>
      <c r="I1018" s="352"/>
      <c r="J1018" s="352"/>
      <c r="K1018" s="353"/>
      <c r="L1018" s="354"/>
      <c r="M1018" s="354"/>
      <c r="N1018" s="355"/>
    </row>
    <row r="1019" spans="1:14" ht="21.75" customHeight="1" x14ac:dyDescent="0.55000000000000004">
      <c r="A1019" s="349"/>
      <c r="B1019" s="349"/>
      <c r="C1019" s="349"/>
      <c r="D1019" s="349"/>
      <c r="E1019" s="352"/>
      <c r="F1019" s="352"/>
      <c r="G1019" s="352"/>
      <c r="H1019" s="352"/>
      <c r="I1019" s="352"/>
      <c r="J1019" s="352"/>
      <c r="K1019" s="353"/>
      <c r="L1019" s="354"/>
      <c r="M1019" s="354"/>
      <c r="N1019" s="355"/>
    </row>
    <row r="1020" spans="1:14" ht="21.75" customHeight="1" x14ac:dyDescent="0.55000000000000004">
      <c r="A1020" s="349"/>
      <c r="B1020" s="349"/>
      <c r="C1020" s="349"/>
      <c r="D1020" s="349"/>
      <c r="E1020" s="352"/>
      <c r="F1020" s="352"/>
      <c r="G1020" s="352"/>
      <c r="H1020" s="352"/>
      <c r="I1020" s="352"/>
      <c r="J1020" s="352"/>
      <c r="K1020" s="353"/>
      <c r="L1020" s="354"/>
      <c r="M1020" s="354"/>
      <c r="N1020" s="355"/>
    </row>
    <row r="1021" spans="1:14" ht="21.75" customHeight="1" x14ac:dyDescent="0.55000000000000004">
      <c r="A1021" s="349"/>
      <c r="B1021" s="349"/>
      <c r="C1021" s="349"/>
      <c r="D1021" s="349"/>
      <c r="E1021" s="352"/>
      <c r="F1021" s="352"/>
      <c r="G1021" s="352"/>
      <c r="H1021" s="352"/>
      <c r="I1021" s="352"/>
      <c r="J1021" s="352"/>
      <c r="K1021" s="353"/>
      <c r="L1021" s="354"/>
      <c r="M1021" s="354"/>
      <c r="N1021" s="355"/>
    </row>
    <row r="1022" spans="1:14" ht="21.75" customHeight="1" x14ac:dyDescent="0.55000000000000004">
      <c r="A1022" s="349"/>
      <c r="B1022" s="349"/>
      <c r="C1022" s="349"/>
      <c r="D1022" s="349"/>
      <c r="E1022" s="352"/>
      <c r="F1022" s="352"/>
      <c r="G1022" s="352"/>
      <c r="H1022" s="352"/>
      <c r="I1022" s="352"/>
      <c r="J1022" s="352"/>
      <c r="K1022" s="353"/>
      <c r="L1022" s="354"/>
      <c r="M1022" s="354"/>
      <c r="N1022" s="355"/>
    </row>
    <row r="1023" spans="1:14" ht="21.75" customHeight="1" x14ac:dyDescent="0.55000000000000004">
      <c r="A1023" s="349"/>
      <c r="B1023" s="349"/>
      <c r="C1023" s="349"/>
      <c r="D1023" s="349"/>
      <c r="E1023" s="352"/>
      <c r="F1023" s="352"/>
      <c r="G1023" s="352"/>
      <c r="H1023" s="352"/>
      <c r="I1023" s="352"/>
      <c r="J1023" s="352"/>
      <c r="K1023" s="353"/>
      <c r="L1023" s="354"/>
      <c r="M1023" s="354"/>
      <c r="N1023" s="355"/>
    </row>
    <row r="1024" spans="1:14" ht="21.75" customHeight="1" x14ac:dyDescent="0.55000000000000004">
      <c r="A1024" s="349"/>
      <c r="B1024" s="349"/>
      <c r="C1024" s="349"/>
      <c r="D1024" s="349"/>
      <c r="E1024" s="352"/>
      <c r="F1024" s="352"/>
      <c r="G1024" s="352"/>
      <c r="H1024" s="352"/>
      <c r="I1024" s="352"/>
      <c r="J1024" s="352"/>
      <c r="K1024" s="353"/>
      <c r="L1024" s="354"/>
      <c r="M1024" s="354"/>
      <c r="N1024" s="355"/>
    </row>
    <row r="1025" spans="1:14" ht="21.75" customHeight="1" x14ac:dyDescent="0.55000000000000004">
      <c r="A1025" s="349"/>
      <c r="B1025" s="349"/>
      <c r="C1025" s="349"/>
      <c r="D1025" s="349"/>
      <c r="E1025" s="352"/>
      <c r="F1025" s="352"/>
      <c r="G1025" s="352"/>
      <c r="H1025" s="352"/>
      <c r="I1025" s="352"/>
      <c r="J1025" s="352"/>
      <c r="K1025" s="353"/>
      <c r="L1025" s="354"/>
      <c r="M1025" s="354"/>
      <c r="N1025" s="355"/>
    </row>
    <row r="1026" spans="1:14" ht="21.75" customHeight="1" x14ac:dyDescent="0.55000000000000004">
      <c r="A1026" s="349"/>
      <c r="B1026" s="349"/>
      <c r="C1026" s="349"/>
      <c r="D1026" s="349"/>
      <c r="E1026" s="352"/>
      <c r="F1026" s="352"/>
      <c r="G1026" s="352"/>
      <c r="H1026" s="352"/>
      <c r="I1026" s="352"/>
      <c r="J1026" s="352"/>
      <c r="K1026" s="353"/>
      <c r="L1026" s="354"/>
      <c r="M1026" s="354"/>
      <c r="N1026" s="355"/>
    </row>
    <row r="1027" spans="1:14" ht="21.75" customHeight="1" x14ac:dyDescent="0.55000000000000004">
      <c r="A1027" s="349"/>
      <c r="B1027" s="349"/>
      <c r="C1027" s="349"/>
      <c r="D1027" s="349"/>
      <c r="E1027" s="352"/>
      <c r="F1027" s="352"/>
      <c r="G1027" s="352"/>
      <c r="H1027" s="352"/>
      <c r="I1027" s="352"/>
      <c r="J1027" s="352"/>
      <c r="K1027" s="353"/>
      <c r="L1027" s="354"/>
      <c r="M1027" s="354"/>
      <c r="N1027" s="355"/>
    </row>
    <row r="1028" spans="1:14" ht="21.75" customHeight="1" x14ac:dyDescent="0.55000000000000004">
      <c r="A1028" s="349"/>
      <c r="B1028" s="349"/>
      <c r="C1028" s="349"/>
      <c r="D1028" s="349"/>
      <c r="E1028" s="352"/>
      <c r="F1028" s="352"/>
      <c r="G1028" s="352"/>
      <c r="H1028" s="352"/>
      <c r="I1028" s="352"/>
      <c r="J1028" s="352"/>
      <c r="K1028" s="353"/>
      <c r="L1028" s="354"/>
      <c r="M1028" s="354"/>
      <c r="N1028" s="355"/>
    </row>
    <row r="1029" spans="1:14" ht="21.75" customHeight="1" x14ac:dyDescent="0.55000000000000004">
      <c r="A1029" s="349"/>
      <c r="B1029" s="349"/>
      <c r="C1029" s="349"/>
      <c r="D1029" s="349"/>
      <c r="E1029" s="352"/>
      <c r="F1029" s="352"/>
      <c r="G1029" s="352"/>
      <c r="H1029" s="352"/>
      <c r="I1029" s="352"/>
      <c r="J1029" s="352"/>
      <c r="K1029" s="353"/>
      <c r="L1029" s="354"/>
      <c r="M1029" s="354"/>
      <c r="N1029" s="355"/>
    </row>
    <row r="1030" spans="1:14" ht="21.75" customHeight="1" x14ac:dyDescent="0.55000000000000004">
      <c r="A1030" s="349"/>
      <c r="B1030" s="349"/>
      <c r="C1030" s="349"/>
      <c r="D1030" s="349"/>
      <c r="E1030" s="352"/>
      <c r="F1030" s="352"/>
      <c r="G1030" s="352"/>
      <c r="H1030" s="352"/>
      <c r="I1030" s="352"/>
      <c r="J1030" s="352"/>
      <c r="K1030" s="353"/>
      <c r="L1030" s="354"/>
      <c r="M1030" s="354"/>
      <c r="N1030" s="355"/>
    </row>
    <row r="1031" spans="1:14" ht="21.75" customHeight="1" x14ac:dyDescent="0.55000000000000004">
      <c r="A1031" s="349"/>
      <c r="B1031" s="349"/>
      <c r="C1031" s="349"/>
      <c r="D1031" s="349"/>
      <c r="E1031" s="352"/>
      <c r="F1031" s="352"/>
      <c r="G1031" s="352"/>
      <c r="H1031" s="352"/>
      <c r="I1031" s="352"/>
      <c r="J1031" s="352"/>
      <c r="K1031" s="353"/>
      <c r="L1031" s="354"/>
      <c r="M1031" s="354"/>
      <c r="N1031" s="355"/>
    </row>
    <row r="1032" spans="1:14" ht="21.75" customHeight="1" x14ac:dyDescent="0.55000000000000004">
      <c r="A1032" s="349"/>
      <c r="B1032" s="349"/>
      <c r="C1032" s="349"/>
      <c r="D1032" s="349"/>
      <c r="E1032" s="352"/>
      <c r="F1032" s="352"/>
      <c r="G1032" s="352"/>
      <c r="H1032" s="352"/>
      <c r="I1032" s="352"/>
      <c r="J1032" s="352"/>
      <c r="K1032" s="353"/>
      <c r="L1032" s="354"/>
      <c r="M1032" s="354"/>
      <c r="N1032" s="355"/>
    </row>
    <row r="1033" spans="1:14" ht="21.75" customHeight="1" x14ac:dyDescent="0.55000000000000004">
      <c r="A1033" s="349"/>
      <c r="B1033" s="349"/>
      <c r="C1033" s="349"/>
      <c r="D1033" s="349"/>
      <c r="E1033" s="352"/>
      <c r="F1033" s="352"/>
      <c r="G1033" s="352"/>
      <c r="H1033" s="352"/>
      <c r="I1033" s="352"/>
      <c r="J1033" s="352"/>
      <c r="K1033" s="353"/>
      <c r="L1033" s="354"/>
      <c r="M1033" s="354"/>
      <c r="N1033" s="355"/>
    </row>
    <row r="1034" spans="1:14" ht="21.75" customHeight="1" x14ac:dyDescent="0.55000000000000004">
      <c r="A1034" s="349"/>
      <c r="B1034" s="349"/>
      <c r="C1034" s="349"/>
      <c r="D1034" s="349"/>
      <c r="E1034" s="352"/>
      <c r="F1034" s="352"/>
      <c r="G1034" s="352"/>
      <c r="H1034" s="352"/>
      <c r="I1034" s="352"/>
      <c r="J1034" s="352"/>
      <c r="K1034" s="353"/>
      <c r="L1034" s="354"/>
      <c r="M1034" s="354"/>
      <c r="N1034" s="355"/>
    </row>
    <row r="1035" spans="1:14" ht="21.75" customHeight="1" x14ac:dyDescent="0.55000000000000004">
      <c r="A1035" s="349"/>
      <c r="B1035" s="349"/>
      <c r="C1035" s="349"/>
      <c r="D1035" s="349"/>
      <c r="E1035" s="352"/>
      <c r="F1035" s="352"/>
      <c r="G1035" s="352"/>
      <c r="H1035" s="352"/>
      <c r="I1035" s="352"/>
      <c r="J1035" s="352"/>
      <c r="K1035" s="353"/>
      <c r="L1035" s="354"/>
      <c r="M1035" s="354"/>
      <c r="N1035" s="355"/>
    </row>
    <row r="1036" spans="1:14" ht="21.75" customHeight="1" x14ac:dyDescent="0.55000000000000004">
      <c r="A1036" s="349"/>
      <c r="B1036" s="349"/>
      <c r="C1036" s="349"/>
      <c r="D1036" s="349"/>
      <c r="E1036" s="352"/>
      <c r="F1036" s="352"/>
      <c r="G1036" s="352"/>
      <c r="H1036" s="352"/>
      <c r="I1036" s="352"/>
      <c r="J1036" s="352"/>
      <c r="K1036" s="353"/>
      <c r="L1036" s="354"/>
      <c r="M1036" s="354"/>
      <c r="N1036" s="355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1496062992125984" bottom="0.39370078740157483" header="0" footer="0"/>
  <pageSetup paperSize="9" scale="49" fitToHeight="0" orientation="portrait" r:id="rId1"/>
  <headerFooter>
    <oddHeader>&amp;R</oddHeader>
    <oddFooter>&amp;Lหน้า &amp;P/&amp;N&amp;R&amp;F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2022-02-17T06:29:39Z</dcterms:modified>
</cp:coreProperties>
</file>